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89B7985-9836-4BC7-BFDB-551831BA5D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zo-Gas Oil-Arrendado" sheetId="3" r:id="rId1"/>
    <sheet name="Represa-Gas Oil-Arrendado" sheetId="2" r:id="rId2"/>
    <sheet name="Pozo-Eléctrico-Arrendado" sheetId="1" r:id="rId3"/>
  </sheets>
  <calcPr calcId="181029" concurrentCalc="0"/>
</workbook>
</file>

<file path=xl/calcChain.xml><?xml version="1.0" encoding="utf-8"?>
<calcChain xmlns="http://schemas.openxmlformats.org/spreadsheetml/2006/main">
  <c r="C92" i="2" l="1"/>
  <c r="D92" i="2"/>
  <c r="E92" i="2"/>
  <c r="C93" i="2"/>
  <c r="D93" i="2"/>
  <c r="E93" i="2"/>
  <c r="D94" i="2"/>
  <c r="E94" i="2"/>
  <c r="D95" i="2"/>
  <c r="E95" i="2"/>
  <c r="E97" i="2"/>
  <c r="C21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E35" i="2"/>
  <c r="D38" i="2"/>
  <c r="E38" i="2"/>
  <c r="E40" i="2"/>
  <c r="E41" i="2"/>
  <c r="E42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62" i="2"/>
  <c r="E63" i="2"/>
  <c r="E64" i="2"/>
  <c r="E65" i="2"/>
  <c r="E66" i="2"/>
  <c r="E67" i="2"/>
  <c r="E68" i="2"/>
  <c r="E70" i="2"/>
  <c r="E73" i="2"/>
  <c r="E74" i="2"/>
  <c r="E75" i="2"/>
  <c r="E77" i="2"/>
  <c r="E80" i="2"/>
  <c r="E83" i="2"/>
  <c r="E85" i="2"/>
  <c r="E87" i="2"/>
  <c r="E89" i="2"/>
  <c r="E99" i="2"/>
  <c r="E100" i="2"/>
  <c r="E101" i="2"/>
  <c r="E103" i="2"/>
  <c r="G103" i="2"/>
  <c r="C90" i="1"/>
  <c r="D90" i="1"/>
  <c r="E90" i="1"/>
  <c r="C91" i="1"/>
  <c r="D91" i="1"/>
  <c r="E91" i="1"/>
  <c r="D92" i="1"/>
  <c r="E92" i="1"/>
  <c r="D93" i="1"/>
  <c r="E93" i="1"/>
  <c r="E95" i="1"/>
  <c r="C21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E35" i="1"/>
  <c r="D38" i="1"/>
  <c r="E38" i="1"/>
  <c r="E41" i="1"/>
  <c r="E42" i="1"/>
  <c r="E43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3" i="1"/>
  <c r="E64" i="1"/>
  <c r="E65" i="1"/>
  <c r="E66" i="1"/>
  <c r="E67" i="1"/>
  <c r="E68" i="1"/>
  <c r="E69" i="1"/>
  <c r="E71" i="1"/>
  <c r="E74" i="1"/>
  <c r="E75" i="1"/>
  <c r="E76" i="1"/>
  <c r="E78" i="1"/>
  <c r="E81" i="1"/>
  <c r="E82" i="1"/>
  <c r="E84" i="1"/>
  <c r="E87" i="1"/>
  <c r="E97" i="1"/>
  <c r="E98" i="1"/>
  <c r="E99" i="1"/>
  <c r="E101" i="1"/>
  <c r="G101" i="1"/>
  <c r="C13" i="3"/>
  <c r="C11" i="3"/>
  <c r="C15" i="2"/>
  <c r="C11" i="2"/>
  <c r="C13" i="2"/>
  <c r="C16" i="2"/>
  <c r="C17" i="2"/>
  <c r="C11" i="1"/>
  <c r="C15" i="3"/>
  <c r="E48" i="3"/>
  <c r="E45" i="3"/>
  <c r="E46" i="3"/>
  <c r="E47" i="3"/>
  <c r="E49" i="3"/>
  <c r="E50" i="3"/>
  <c r="E51" i="3"/>
  <c r="E52" i="3"/>
  <c r="E53" i="3"/>
  <c r="E54" i="3"/>
  <c r="E55" i="3"/>
  <c r="E56" i="3"/>
  <c r="E58" i="3"/>
  <c r="E40" i="3"/>
  <c r="E41" i="3"/>
  <c r="E42" i="3"/>
  <c r="E61" i="3"/>
  <c r="E62" i="3"/>
  <c r="E63" i="3"/>
  <c r="E64" i="3"/>
  <c r="E65" i="3"/>
  <c r="E66" i="3"/>
  <c r="E67" i="3"/>
  <c r="E69" i="3"/>
  <c r="E72" i="3"/>
  <c r="E73" i="3"/>
  <c r="E74" i="3"/>
  <c r="E76" i="3"/>
  <c r="E84" i="3"/>
  <c r="D38" i="3"/>
  <c r="E38" i="3"/>
  <c r="C21" i="3"/>
  <c r="D33" i="3"/>
  <c r="E33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E35" i="3"/>
  <c r="E79" i="3"/>
  <c r="D90" i="3"/>
  <c r="C90" i="3"/>
  <c r="E90" i="3"/>
  <c r="D91" i="3"/>
  <c r="C91" i="3"/>
  <c r="E91" i="3"/>
  <c r="D92" i="3"/>
  <c r="E92" i="3"/>
  <c r="D93" i="3"/>
  <c r="E93" i="3"/>
  <c r="E82" i="3"/>
  <c r="E98" i="3"/>
  <c r="E99" i="3"/>
  <c r="C15" i="1"/>
  <c r="C13" i="1"/>
  <c r="C16" i="1"/>
  <c r="C17" i="1"/>
  <c r="E95" i="3"/>
  <c r="C16" i="3"/>
  <c r="C17" i="3"/>
  <c r="E87" i="3"/>
  <c r="E97" i="3"/>
  <c r="D110" i="2"/>
  <c r="D105" i="1"/>
  <c r="E105" i="1"/>
  <c r="D108" i="1"/>
  <c r="E101" i="3"/>
  <c r="D105" i="3"/>
  <c r="D107" i="2"/>
  <c r="D106" i="1"/>
  <c r="D107" i="1"/>
  <c r="D106" i="3"/>
  <c r="E105" i="3"/>
  <c r="G101" i="3"/>
  <c r="D108" i="3"/>
  <c r="D108" i="2"/>
  <c r="E107" i="2"/>
  <c r="E106" i="1"/>
  <c r="D107" i="3"/>
  <c r="E106" i="3"/>
  <c r="D109" i="2"/>
  <c r="E108" i="2"/>
</calcChain>
</file>

<file path=xl/sharedStrings.xml><?xml version="1.0" encoding="utf-8"?>
<sst xmlns="http://schemas.openxmlformats.org/spreadsheetml/2006/main" count="513" uniqueCount="123">
  <si>
    <t>Rendimiento Esperado</t>
  </si>
  <si>
    <t>Items</t>
  </si>
  <si>
    <t>Unidad</t>
  </si>
  <si>
    <t>Valor</t>
  </si>
  <si>
    <t>Tipo de Cambio</t>
  </si>
  <si>
    <t>kg/ha.</t>
  </si>
  <si>
    <t>US$/kg</t>
  </si>
  <si>
    <t>$/US$</t>
  </si>
  <si>
    <t>$/kg</t>
  </si>
  <si>
    <t>$/ha</t>
  </si>
  <si>
    <t>%</t>
  </si>
  <si>
    <t xml:space="preserve">Flete </t>
  </si>
  <si>
    <t>$/Tn</t>
  </si>
  <si>
    <t>INGRESO BRUTO</t>
  </si>
  <si>
    <t>INGRESO NETO</t>
  </si>
  <si>
    <t>$/ha.</t>
  </si>
  <si>
    <t>INGRESOS</t>
  </si>
  <si>
    <t>COSTOS</t>
  </si>
  <si>
    <t>Precio de la UTA</t>
  </si>
  <si>
    <t>Labores</t>
  </si>
  <si>
    <t>Rastra Pesada</t>
  </si>
  <si>
    <t>Unidad/ha.</t>
  </si>
  <si>
    <t>UTA/Labor</t>
  </si>
  <si>
    <t>Costo/ha.</t>
  </si>
  <si>
    <t>$/UTA</t>
  </si>
  <si>
    <t>Siembra</t>
  </si>
  <si>
    <t>Aplicación aérea de Fertilizantes Foliar  (Zinc)</t>
  </si>
  <si>
    <t>Aplicación aérea de Fungicida</t>
  </si>
  <si>
    <t>Taipeado</t>
  </si>
  <si>
    <t>Aplicación aérea de Fertilizantes (70kg Urea)</t>
  </si>
  <si>
    <t>TOTAL LABORES</t>
  </si>
  <si>
    <t>INSUMOS</t>
  </si>
  <si>
    <t>Cantidad /ha.</t>
  </si>
  <si>
    <t>Precio/Unidad</t>
  </si>
  <si>
    <t>Costo /ha.</t>
  </si>
  <si>
    <t>kg</t>
  </si>
  <si>
    <t>Tratamiento Semilla</t>
  </si>
  <si>
    <t>Fungicidas</t>
  </si>
  <si>
    <t>Zinc (75%)</t>
  </si>
  <si>
    <t>lts</t>
  </si>
  <si>
    <t>HERBICIDAS</t>
  </si>
  <si>
    <t>TOTAL TRATAMIENTO DE SEMILLAS</t>
  </si>
  <si>
    <t>Noomine 40 SC (Bispiribac Sodio)</t>
  </si>
  <si>
    <t>Noomine Gold  10 SC (Bispiribac Sodio)</t>
  </si>
  <si>
    <t>Facet (Quinclorac 25%)</t>
  </si>
  <si>
    <t>Glifosato 62%</t>
  </si>
  <si>
    <t>Kifix (Imazapyr + Imazapic)</t>
  </si>
  <si>
    <t>Command 48% (Clomazone)</t>
  </si>
  <si>
    <t>Aceite Vegetal Metilado (MSO)</t>
  </si>
  <si>
    <t>Clincher (Cyhalofop-Buyl)</t>
  </si>
  <si>
    <t>Aura (Profoxidim)</t>
  </si>
  <si>
    <t>Basagran</t>
  </si>
  <si>
    <t>Cletodim 24%</t>
  </si>
  <si>
    <t>Dicamba</t>
  </si>
  <si>
    <t>TOTAL DE HERBICIDAS</t>
  </si>
  <si>
    <t>FERTILIZANTES</t>
  </si>
  <si>
    <t>Fosfato Monoamónico</t>
  </si>
  <si>
    <t>Mezcla Física (4-30-20)</t>
  </si>
  <si>
    <t>Mezcla Física (15-15-15)</t>
  </si>
  <si>
    <t>Mezcla Física (10-20-30)</t>
  </si>
  <si>
    <t xml:space="preserve">Zinc 75% </t>
  </si>
  <si>
    <t>Urea Granulada</t>
  </si>
  <si>
    <t>FUNGICIDAS</t>
  </si>
  <si>
    <t>Amistar (Azoxistrobin + Ciproconazol)</t>
  </si>
  <si>
    <t>Allegro (Kresoxim metil + Epoxiconazole)</t>
  </si>
  <si>
    <t>Opera (Pyraclostrobin + Epoxiconazole)</t>
  </si>
  <si>
    <t>OTROS INSUMOS</t>
  </si>
  <si>
    <t>Gas Oil para Riego (sin IVA e ITC)</t>
  </si>
  <si>
    <t>Gas Oil para otros usos generales</t>
  </si>
  <si>
    <t>Aceite para Motor Diesel</t>
  </si>
  <si>
    <t>Personal Transitorio</t>
  </si>
  <si>
    <t>Conservacion de Represa y Canales</t>
  </si>
  <si>
    <t>TOTAL GASTOS FIJOS DIRECTOS</t>
  </si>
  <si>
    <t>GASTOS VARIABLES DIRECTOS</t>
  </si>
  <si>
    <t>TOTAL GASTOS DIRECTOS</t>
  </si>
  <si>
    <t>GASTOS ESTRUCTURA</t>
  </si>
  <si>
    <t>AMORTIZACIONES DIRECTAS</t>
  </si>
  <si>
    <t>MARGEN BRUTO</t>
  </si>
  <si>
    <t>Campo Arrendado</t>
  </si>
  <si>
    <t>UTILIDAD  (MB-ESTRUCTURA-AMORTIZACIONES)</t>
  </si>
  <si>
    <t>RENTABILIDAD (%)</t>
  </si>
  <si>
    <t>RENDIMIENTO INDIFERENCIA (KG/HA)</t>
  </si>
  <si>
    <t>Gasto de Cosecha y Acarreo</t>
  </si>
  <si>
    <t>Arrendamiento</t>
  </si>
  <si>
    <t>Asesoramiento Técnico (1%)</t>
  </si>
  <si>
    <t>Semilla *</t>
  </si>
  <si>
    <t>1 persona</t>
  </si>
  <si>
    <t>TOTAL DE FUNGICIDAS</t>
  </si>
  <si>
    <t>Labor</t>
  </si>
  <si>
    <t>Flete (50km)</t>
  </si>
  <si>
    <t>Electricidad</t>
  </si>
  <si>
    <t>kw/ha</t>
  </si>
  <si>
    <t>Bonificación del Personal (2.5%)</t>
  </si>
  <si>
    <t>POZO PROFUNDO - CAMPO ARRENDADO - RIEGO A COMBUSTIBLE</t>
  </si>
  <si>
    <t xml:space="preserve">COSTO DE PRODUCCIÓN DE ARROZ </t>
  </si>
  <si>
    <t>Rendimiento esperado</t>
  </si>
  <si>
    <t>Precio del arroz cáscara puesto en Molino - Dólares</t>
  </si>
  <si>
    <t>kg/ha</t>
  </si>
  <si>
    <t>Costo Secado (Secado + Paritaria)</t>
  </si>
  <si>
    <t>Precio del arroz cáscara, seco puesto en Molino - Pesos</t>
  </si>
  <si>
    <t>Rastrón</t>
  </si>
  <si>
    <t>Nivelación RTK</t>
  </si>
  <si>
    <t>Aplicación terrestre de Herbicidas</t>
  </si>
  <si>
    <t>Aplicación terrestre de Fertilizantes</t>
  </si>
  <si>
    <t>Aplicación aérea de Fertilizantes (70 kg Urea)</t>
  </si>
  <si>
    <t>RESULTADOS ECONÓMICOS</t>
  </si>
  <si>
    <t>* Se asegura una suma de 1.900.000 pesos por ha. El costo corresponde al 2% de ese valor asegurado.</t>
  </si>
  <si>
    <t>REPRESA - CAMPO ARRENDADO - RIEGO A COMBUSTIBLE</t>
  </si>
  <si>
    <t>Precio del arroz cáscara puesto en Molino - Pesos</t>
  </si>
  <si>
    <t>Construcción de Rondas y  Canales</t>
  </si>
  <si>
    <t>Construcción de Rondas y Canales</t>
  </si>
  <si>
    <t>Fosfato Diamónico</t>
  </si>
  <si>
    <t>Seguro contra Granizo / Viento (2%) *</t>
  </si>
  <si>
    <t>* SEMILLA Se considera al doble de precio del arroz cáscara debido a la relacion de 2x1.</t>
  </si>
  <si>
    <t>* 1 persona de 8 años de antigüedad cuesta 1.031.262 pesos mensuales categoría conductor tractorista, sueldo bruto + art + leyes sociales.</t>
  </si>
  <si>
    <t>* 1 persona de 5 años de antigüedad cuesta 1.031.262 pesos mensuales categoría conductor tractorista, sueldo bruto + art + leyes sociales.</t>
  </si>
  <si>
    <t>COSTO TOTAL POR HECTÁREA</t>
  </si>
  <si>
    <r>
      <rPr>
        <b/>
        <sz val="11"/>
        <color theme="4"/>
        <rFont val="Calibri"/>
        <family val="2"/>
        <scheme val="minor"/>
      </rPr>
      <t>COSTO DE PRODUCCIÓN DE ARROZ</t>
    </r>
    <r>
      <rPr>
        <sz val="11"/>
        <color theme="1"/>
        <rFont val="Calibri"/>
        <family val="2"/>
        <scheme val="minor"/>
      </rPr>
      <t xml:space="preserve"> </t>
    </r>
  </si>
  <si>
    <t>POZO PROFUNDO - CAMPO ARRENDADO - RIEGO ELÉCTRICO</t>
  </si>
  <si>
    <t>Personal Permanente (5 meses riego) *</t>
  </si>
  <si>
    <t>Reparación y Conservación</t>
  </si>
  <si>
    <t>TOTAL FERTILIZANTES</t>
  </si>
  <si>
    <t>TOTAL GASTOS VARIABLES 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</si>
</sst>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"/>
    <numFmt numFmtId="165" formatCode="_-[$USD]\ * #,##0.0_-;\-[$USD]\ * #,##0.0_-;_-[$USD]\ * &quot;-&quot;?_-;_-@_-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9" fontId="0" fillId="0" borderId="0" xfId="2" applyFont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0" xfId="1" applyFont="1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0" borderId="0" xfId="1" applyNumberFormat="1" applyFont="1" applyAlignment="1">
      <alignment horizontal="center"/>
    </xf>
    <xf numFmtId="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  <xf numFmtId="44" fontId="0" fillId="2" borderId="0" xfId="1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/>
    <xf numFmtId="44" fontId="2" fillId="2" borderId="0" xfId="1" applyFont="1" applyFill="1"/>
    <xf numFmtId="44" fontId="0" fillId="2" borderId="0" xfId="0" applyNumberForma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0" fontId="0" fillId="4" borderId="0" xfId="0" applyFill="1"/>
    <xf numFmtId="44" fontId="0" fillId="4" borderId="1" xfId="0" applyNumberFormat="1" applyFill="1" applyBorder="1"/>
    <xf numFmtId="165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66" fontId="0" fillId="0" borderId="0" xfId="0" applyNumberFormat="1" applyAlignment="1">
      <alignment horizontal="right"/>
    </xf>
    <xf numFmtId="44" fontId="2" fillId="0" borderId="0" xfId="1" applyFont="1" applyFill="1"/>
    <xf numFmtId="0" fontId="0" fillId="0" borderId="0" xfId="0"/>
    <xf numFmtId="9" fontId="0" fillId="4" borderId="1" xfId="2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79829</xdr:colOff>
      <xdr:row>0</xdr:row>
      <xdr:rowOff>87086</xdr:rowOff>
    </xdr:from>
    <xdr:to>
      <xdr:col>0</xdr:col>
      <xdr:colOff>573138</xdr:colOff>
      <xdr:row>0</xdr:row>
      <xdr:rowOff>710977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51F1A3-4281-420E-B281-0646F79AE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29" y="87086"/>
          <a:ext cx="493309" cy="623891"/>
        </a:xfrm>
        <a:prstGeom prst="rect">
          <a:avLst/>
        </a:prstGeom>
      </xdr:spPr>
    </xdr:pic>
    <xdr:clientData/>
  </xdr:twoCellAnchor>
  <xdr:twoCellAnchor editAs="oneCell">
    <xdr:from>
      <xdr:col>4</xdr:col>
      <xdr:colOff>116115</xdr:colOff>
      <xdr:row>0</xdr:row>
      <xdr:rowOff>130628</xdr:rowOff>
    </xdr:from>
    <xdr:to>
      <xdr:col>4</xdr:col>
      <xdr:colOff>947562</xdr:colOff>
      <xdr:row>0</xdr:row>
      <xdr:rowOff>668621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6A7699-52BF-4014-AF8B-BD251E626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258" y="130628"/>
          <a:ext cx="831447" cy="5379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83820</xdr:rowOff>
    </xdr:from>
    <xdr:to>
      <xdr:col>0</xdr:col>
      <xdr:colOff>561889</xdr:colOff>
      <xdr:row>0</xdr:row>
      <xdr:rowOff>707711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2BE01B-A115-4637-BA62-3F4F31D8F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83820"/>
          <a:ext cx="493309" cy="623891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0</xdr:row>
      <xdr:rowOff>137160</xdr:rowOff>
    </xdr:from>
    <xdr:to>
      <xdr:col>4</xdr:col>
      <xdr:colOff>945747</xdr:colOff>
      <xdr:row>0</xdr:row>
      <xdr:rowOff>675153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585470-6156-4D8A-9571-CF27FAE4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620" y="137160"/>
          <a:ext cx="831447" cy="537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91440</xdr:rowOff>
    </xdr:from>
    <xdr:to>
      <xdr:col>0</xdr:col>
      <xdr:colOff>577129</xdr:colOff>
      <xdr:row>0</xdr:row>
      <xdr:rowOff>715331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E9244A-A80B-494F-AFE6-DFBEEA79A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91440"/>
          <a:ext cx="493309" cy="623891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129540</xdr:rowOff>
    </xdr:from>
    <xdr:to>
      <xdr:col>4</xdr:col>
      <xdr:colOff>907647</xdr:colOff>
      <xdr:row>0</xdr:row>
      <xdr:rowOff>667533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D204DE-9EC5-4018-A099-E9BF4F1E9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520" y="129540"/>
          <a:ext cx="831447" cy="53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abSelected="1" topLeftCell="A37" zoomScale="105" zoomScaleNormal="105" workbookViewId="0">
      <selection activeCell="K88" sqref="K88"/>
    </sheetView>
  </sheetViews>
  <sheetFormatPr baseColWidth="10" defaultColWidth="9.109375" defaultRowHeight="14.4" x14ac:dyDescent="0.3"/>
  <cols>
    <col min="1" max="1" width="49.88671875" bestFit="1" customWidth="1"/>
    <col min="2" max="2" width="10.88671875" bestFit="1" customWidth="1"/>
    <col min="3" max="3" width="12.88671875" bestFit="1" customWidth="1"/>
    <col min="4" max="4" width="13.6640625" bestFit="1" customWidth="1"/>
    <col min="5" max="5" width="14.5546875" customWidth="1"/>
  </cols>
  <sheetData>
    <row r="1" spans="1:5" ht="61.8" customHeight="1" x14ac:dyDescent="0.3">
      <c r="A1" s="30"/>
      <c r="B1" s="30"/>
      <c r="C1" s="30"/>
      <c r="D1" s="30"/>
      <c r="E1" s="30"/>
    </row>
    <row r="2" spans="1:5" ht="15.6" x14ac:dyDescent="0.3">
      <c r="A2" s="33" t="s">
        <v>94</v>
      </c>
      <c r="B2" s="34"/>
      <c r="C2" s="34"/>
      <c r="D2" s="34"/>
      <c r="E2" s="34"/>
    </row>
    <row r="3" spans="1:5" ht="18" x14ac:dyDescent="0.35">
      <c r="A3" s="35" t="s">
        <v>93</v>
      </c>
      <c r="B3" s="35"/>
      <c r="C3" s="35"/>
      <c r="D3" s="35"/>
      <c r="E3" s="35"/>
    </row>
    <row r="4" spans="1:5" x14ac:dyDescent="0.3">
      <c r="A4" s="36" t="s">
        <v>16</v>
      </c>
      <c r="B4" s="36"/>
      <c r="C4" s="36"/>
    </row>
    <row r="6" spans="1:5" x14ac:dyDescent="0.3">
      <c r="A6" s="21" t="s">
        <v>1</v>
      </c>
      <c r="B6" s="22" t="s">
        <v>2</v>
      </c>
      <c r="C6" s="22" t="s">
        <v>3</v>
      </c>
    </row>
    <row r="7" spans="1:5" x14ac:dyDescent="0.3">
      <c r="A7" t="s">
        <v>95</v>
      </c>
      <c r="B7" s="1" t="s">
        <v>97</v>
      </c>
      <c r="C7" s="2">
        <v>8500</v>
      </c>
    </row>
    <row r="8" spans="1:5" x14ac:dyDescent="0.3">
      <c r="A8" t="s">
        <v>96</v>
      </c>
      <c r="B8" s="1" t="s">
        <v>6</v>
      </c>
      <c r="C8" s="28">
        <v>0.22</v>
      </c>
    </row>
    <row r="9" spans="1:5" x14ac:dyDescent="0.3">
      <c r="A9" t="s">
        <v>4</v>
      </c>
      <c r="B9" s="1" t="s">
        <v>7</v>
      </c>
      <c r="C9" s="2">
        <v>1100</v>
      </c>
    </row>
    <row r="10" spans="1:5" x14ac:dyDescent="0.3">
      <c r="A10" t="s">
        <v>108</v>
      </c>
      <c r="B10" s="1" t="s">
        <v>8</v>
      </c>
      <c r="C10" s="2">
        <v>240</v>
      </c>
    </row>
    <row r="11" spans="1:5" x14ac:dyDescent="0.3">
      <c r="A11" t="s">
        <v>13</v>
      </c>
      <c r="B11" s="1" t="s">
        <v>9</v>
      </c>
      <c r="C11" s="2">
        <f>+C7*C10</f>
        <v>2040000</v>
      </c>
    </row>
    <row r="12" spans="1:5" x14ac:dyDescent="0.3">
      <c r="A12" t="s">
        <v>98</v>
      </c>
      <c r="B12" s="1" t="s">
        <v>10</v>
      </c>
      <c r="C12" s="4">
        <v>7.0000000000000007E-2</v>
      </c>
    </row>
    <row r="13" spans="1:5" x14ac:dyDescent="0.3">
      <c r="A13" t="s">
        <v>98</v>
      </c>
      <c r="B13" s="1" t="s">
        <v>9</v>
      </c>
      <c r="C13" s="2">
        <f>+(C7+(C7*10%))*C12*C10</f>
        <v>157080.00000000003</v>
      </c>
    </row>
    <row r="14" spans="1:5" x14ac:dyDescent="0.3">
      <c r="A14" t="s">
        <v>11</v>
      </c>
      <c r="B14" s="1" t="s">
        <v>12</v>
      </c>
      <c r="C14" s="2">
        <v>8850</v>
      </c>
    </row>
    <row r="15" spans="1:5" x14ac:dyDescent="0.3">
      <c r="A15" t="s">
        <v>11</v>
      </c>
      <c r="B15" s="1" t="s">
        <v>9</v>
      </c>
      <c r="C15" s="2">
        <f>+C14*(((C7+(C7*10%))/1000))</f>
        <v>82747.5</v>
      </c>
    </row>
    <row r="16" spans="1:5" x14ac:dyDescent="0.3">
      <c r="A16" t="s">
        <v>14</v>
      </c>
      <c r="B16" s="1" t="s">
        <v>9</v>
      </c>
      <c r="C16" s="2">
        <f>+C11-C13-C15</f>
        <v>1800172.5</v>
      </c>
    </row>
    <row r="17" spans="1:5" x14ac:dyDescent="0.3">
      <c r="A17" t="s">
        <v>99</v>
      </c>
      <c r="B17" s="1" t="s">
        <v>8</v>
      </c>
      <c r="C17" s="5">
        <f>+C16/C7</f>
        <v>211.785</v>
      </c>
    </row>
    <row r="19" spans="1:5" x14ac:dyDescent="0.3">
      <c r="A19" s="36" t="s">
        <v>17</v>
      </c>
      <c r="B19" s="36"/>
      <c r="C19" s="36"/>
    </row>
    <row r="20" spans="1:5" x14ac:dyDescent="0.3">
      <c r="A20" t="s">
        <v>1</v>
      </c>
      <c r="B20" s="1" t="s">
        <v>2</v>
      </c>
      <c r="C20" s="1" t="s">
        <v>3</v>
      </c>
    </row>
    <row r="21" spans="1:5" x14ac:dyDescent="0.3">
      <c r="A21" s="21" t="s">
        <v>18</v>
      </c>
      <c r="B21" s="22" t="s">
        <v>9</v>
      </c>
      <c r="C21" s="21">
        <f>1130*45</f>
        <v>50850</v>
      </c>
    </row>
    <row r="22" spans="1:5" x14ac:dyDescent="0.3">
      <c r="A22" s="16" t="s">
        <v>19</v>
      </c>
      <c r="B22" s="17" t="s">
        <v>21</v>
      </c>
      <c r="C22" s="16" t="s">
        <v>22</v>
      </c>
      <c r="D22" s="17" t="s">
        <v>24</v>
      </c>
      <c r="E22" s="16" t="s">
        <v>23</v>
      </c>
    </row>
    <row r="23" spans="1:5" x14ac:dyDescent="0.3">
      <c r="A23" t="s">
        <v>20</v>
      </c>
      <c r="B23" s="1">
        <v>2</v>
      </c>
      <c r="C23" s="1">
        <v>1</v>
      </c>
      <c r="D23" s="1">
        <f>+$C$21</f>
        <v>50850</v>
      </c>
      <c r="E23" s="6">
        <f>+B23*C23*D23</f>
        <v>101700</v>
      </c>
    </row>
    <row r="24" spans="1:5" x14ac:dyDescent="0.3">
      <c r="A24" t="s">
        <v>100</v>
      </c>
      <c r="B24" s="1">
        <v>2</v>
      </c>
      <c r="C24" s="1">
        <v>0.6</v>
      </c>
      <c r="D24" s="1">
        <f t="shared" ref="D24:D33" si="0">+$C$21</f>
        <v>50850</v>
      </c>
      <c r="E24" s="6">
        <f>+B24*C24*D24</f>
        <v>61020</v>
      </c>
    </row>
    <row r="25" spans="1:5" x14ac:dyDescent="0.3">
      <c r="A25" t="s">
        <v>101</v>
      </c>
      <c r="B25" s="1">
        <v>1</v>
      </c>
      <c r="C25" s="1">
        <v>0.25</v>
      </c>
      <c r="D25" s="1">
        <f t="shared" si="0"/>
        <v>50850</v>
      </c>
      <c r="E25" s="6">
        <f>+B25*C25*D25</f>
        <v>12712.5</v>
      </c>
    </row>
    <row r="26" spans="1:5" x14ac:dyDescent="0.3">
      <c r="A26" t="s">
        <v>28</v>
      </c>
      <c r="B26" s="1">
        <v>2</v>
      </c>
      <c r="C26" s="1">
        <v>0.3</v>
      </c>
      <c r="D26" s="1">
        <f t="shared" si="0"/>
        <v>50850</v>
      </c>
      <c r="E26" s="6">
        <f t="shared" ref="E26:E33" si="1">+B26*C26*D26</f>
        <v>30510</v>
      </c>
    </row>
    <row r="27" spans="1:5" x14ac:dyDescent="0.3">
      <c r="A27" t="s">
        <v>25</v>
      </c>
      <c r="B27" s="1">
        <v>1</v>
      </c>
      <c r="C27" s="1">
        <v>1</v>
      </c>
      <c r="D27" s="1">
        <f t="shared" si="0"/>
        <v>50850</v>
      </c>
      <c r="E27" s="6">
        <f t="shared" si="1"/>
        <v>50850</v>
      </c>
    </row>
    <row r="28" spans="1:5" x14ac:dyDescent="0.3">
      <c r="A28" t="s">
        <v>109</v>
      </c>
      <c r="B28" s="1">
        <v>1</v>
      </c>
      <c r="C28" s="1">
        <v>1</v>
      </c>
      <c r="D28" s="1">
        <f t="shared" si="0"/>
        <v>50850</v>
      </c>
      <c r="E28" s="6">
        <f t="shared" si="1"/>
        <v>50850</v>
      </c>
    </row>
    <row r="29" spans="1:5" x14ac:dyDescent="0.3">
      <c r="A29" t="s">
        <v>102</v>
      </c>
      <c r="B29" s="1">
        <v>2</v>
      </c>
      <c r="C29" s="1">
        <v>0.3</v>
      </c>
      <c r="D29" s="1">
        <f t="shared" si="0"/>
        <v>50850</v>
      </c>
      <c r="E29" s="6">
        <f t="shared" si="1"/>
        <v>30510</v>
      </c>
    </row>
    <row r="30" spans="1:5" x14ac:dyDescent="0.3">
      <c r="A30" t="s">
        <v>103</v>
      </c>
      <c r="B30" s="1">
        <v>1</v>
      </c>
      <c r="C30" s="1">
        <v>0.3</v>
      </c>
      <c r="D30" s="1">
        <f t="shared" si="0"/>
        <v>50850</v>
      </c>
      <c r="E30" s="6">
        <f t="shared" si="1"/>
        <v>15255</v>
      </c>
    </row>
    <row r="31" spans="1:5" x14ac:dyDescent="0.3">
      <c r="A31" t="s">
        <v>104</v>
      </c>
      <c r="B31" s="1">
        <v>1</v>
      </c>
      <c r="C31" s="1">
        <v>0.7</v>
      </c>
      <c r="D31" s="1">
        <f t="shared" si="0"/>
        <v>50850</v>
      </c>
      <c r="E31" s="6">
        <f t="shared" si="1"/>
        <v>35595</v>
      </c>
    </row>
    <row r="32" spans="1:5" x14ac:dyDescent="0.3">
      <c r="A32" t="s">
        <v>26</v>
      </c>
      <c r="B32" s="1">
        <v>1</v>
      </c>
      <c r="C32" s="1">
        <v>0.3</v>
      </c>
      <c r="D32" s="1">
        <f t="shared" si="0"/>
        <v>50850</v>
      </c>
      <c r="E32" s="6">
        <f t="shared" si="1"/>
        <v>15255</v>
      </c>
    </row>
    <row r="33" spans="1:5" x14ac:dyDescent="0.3">
      <c r="A33" t="s">
        <v>27</v>
      </c>
      <c r="B33" s="1">
        <v>2</v>
      </c>
      <c r="C33" s="1">
        <v>0.3</v>
      </c>
      <c r="D33" s="1">
        <f t="shared" si="0"/>
        <v>50850</v>
      </c>
      <c r="E33" s="6">
        <f t="shared" si="1"/>
        <v>30510</v>
      </c>
    </row>
    <row r="35" spans="1:5" s="11" customFormat="1" x14ac:dyDescent="0.3">
      <c r="A35" s="16" t="s">
        <v>30</v>
      </c>
      <c r="B35" s="16"/>
      <c r="C35" s="16"/>
      <c r="D35" s="16"/>
      <c r="E35" s="23">
        <f>SUM(E23:E34)</f>
        <v>434767.5</v>
      </c>
    </row>
    <row r="37" spans="1:5" x14ac:dyDescent="0.3">
      <c r="A37" s="16" t="s">
        <v>31</v>
      </c>
      <c r="B37" s="17" t="s">
        <v>2</v>
      </c>
      <c r="C37" s="17" t="s">
        <v>32</v>
      </c>
      <c r="D37" s="17" t="s">
        <v>33</v>
      </c>
      <c r="E37" s="17" t="s">
        <v>34</v>
      </c>
    </row>
    <row r="38" spans="1:5" x14ac:dyDescent="0.3">
      <c r="A38" t="s">
        <v>85</v>
      </c>
      <c r="B38" t="s">
        <v>35</v>
      </c>
      <c r="C38" s="1">
        <v>130</v>
      </c>
      <c r="D38" s="1">
        <f>+C10*2</f>
        <v>480</v>
      </c>
      <c r="E38" s="7">
        <f>+C38*D38</f>
        <v>62400</v>
      </c>
    </row>
    <row r="39" spans="1:5" x14ac:dyDescent="0.3">
      <c r="A39" s="16" t="s">
        <v>36</v>
      </c>
      <c r="B39" s="16"/>
      <c r="C39" s="16"/>
      <c r="D39" s="16"/>
      <c r="E39" s="16"/>
    </row>
    <row r="40" spans="1:5" x14ac:dyDescent="0.3">
      <c r="A40" t="s">
        <v>37</v>
      </c>
      <c r="B40" t="s">
        <v>39</v>
      </c>
      <c r="C40" s="1">
        <v>0.2</v>
      </c>
      <c r="D40" s="1">
        <v>7</v>
      </c>
      <c r="E40" s="7">
        <f>+C40*D40*$C$9</f>
        <v>1540.0000000000002</v>
      </c>
    </row>
    <row r="41" spans="1:5" x14ac:dyDescent="0.3">
      <c r="A41" t="s">
        <v>38</v>
      </c>
      <c r="B41" t="s">
        <v>39</v>
      </c>
      <c r="C41" s="1">
        <v>0.3</v>
      </c>
      <c r="D41" s="1">
        <v>15</v>
      </c>
      <c r="E41" s="7">
        <f>+C41*D41*$C$9</f>
        <v>4950</v>
      </c>
    </row>
    <row r="42" spans="1:5" x14ac:dyDescent="0.3">
      <c r="A42" s="16" t="s">
        <v>41</v>
      </c>
      <c r="B42" s="16"/>
      <c r="C42" s="16"/>
      <c r="D42" s="16"/>
      <c r="E42" s="19">
        <f>+E40+E41</f>
        <v>6490</v>
      </c>
    </row>
    <row r="43" spans="1:5" x14ac:dyDescent="0.3">
      <c r="A43" s="11"/>
      <c r="B43" s="11"/>
      <c r="C43" s="11"/>
      <c r="D43" s="11"/>
      <c r="E43" s="29"/>
    </row>
    <row r="44" spans="1:5" x14ac:dyDescent="0.3">
      <c r="A44" s="16" t="s">
        <v>40</v>
      </c>
      <c r="B44" s="17" t="s">
        <v>2</v>
      </c>
      <c r="C44" s="17" t="s">
        <v>32</v>
      </c>
      <c r="D44" s="17" t="s">
        <v>33</v>
      </c>
      <c r="E44" s="17" t="s">
        <v>34</v>
      </c>
    </row>
    <row r="45" spans="1:5" x14ac:dyDescent="0.3">
      <c r="A45" t="s">
        <v>42</v>
      </c>
      <c r="B45" t="s">
        <v>39</v>
      </c>
      <c r="E45" s="7">
        <f>+C45*D45*$C$9</f>
        <v>0</v>
      </c>
    </row>
    <row r="46" spans="1:5" x14ac:dyDescent="0.3">
      <c r="A46" t="s">
        <v>43</v>
      </c>
      <c r="B46" t="s">
        <v>39</v>
      </c>
      <c r="E46" s="7">
        <f t="shared" ref="E46:E56" si="2">+C46*D46*$C$9</f>
        <v>0</v>
      </c>
    </row>
    <row r="47" spans="1:5" x14ac:dyDescent="0.3">
      <c r="A47" t="s">
        <v>44</v>
      </c>
      <c r="B47" t="s">
        <v>39</v>
      </c>
      <c r="C47" s="1">
        <v>1.2</v>
      </c>
      <c r="D47" s="9">
        <v>30</v>
      </c>
      <c r="E47" s="7">
        <f>+C47*D47*$C$9</f>
        <v>39600</v>
      </c>
    </row>
    <row r="48" spans="1:5" x14ac:dyDescent="0.3">
      <c r="A48" t="s">
        <v>45</v>
      </c>
      <c r="B48" t="s">
        <v>39</v>
      </c>
      <c r="C48" s="1">
        <v>5</v>
      </c>
      <c r="D48" s="1">
        <v>6</v>
      </c>
      <c r="E48" s="7">
        <f t="shared" si="2"/>
        <v>33000</v>
      </c>
    </row>
    <row r="49" spans="1:5" x14ac:dyDescent="0.3">
      <c r="A49" t="s">
        <v>46</v>
      </c>
      <c r="B49" t="s">
        <v>35</v>
      </c>
      <c r="C49" s="1"/>
      <c r="E49" s="7">
        <f t="shared" si="2"/>
        <v>0</v>
      </c>
    </row>
    <row r="50" spans="1:5" x14ac:dyDescent="0.3">
      <c r="A50" t="s">
        <v>47</v>
      </c>
      <c r="B50" t="s">
        <v>39</v>
      </c>
      <c r="C50" s="1">
        <v>0.7</v>
      </c>
      <c r="D50" s="1">
        <v>16</v>
      </c>
      <c r="E50" s="7">
        <f t="shared" si="2"/>
        <v>12320</v>
      </c>
    </row>
    <row r="51" spans="1:5" x14ac:dyDescent="0.3">
      <c r="A51" t="s">
        <v>48</v>
      </c>
      <c r="B51" t="s">
        <v>39</v>
      </c>
      <c r="C51" s="1">
        <v>0.5</v>
      </c>
      <c r="D51" s="1">
        <v>15</v>
      </c>
      <c r="E51" s="7">
        <f>+C51*D51*$C$9</f>
        <v>8250</v>
      </c>
    </row>
    <row r="52" spans="1:5" x14ac:dyDescent="0.3">
      <c r="A52" t="s">
        <v>49</v>
      </c>
      <c r="B52" t="s">
        <v>39</v>
      </c>
      <c r="C52" s="1">
        <v>2.8</v>
      </c>
      <c r="D52" s="1">
        <v>15</v>
      </c>
      <c r="E52" s="7">
        <f>+C52*D52*$C$9*0.4</f>
        <v>18480</v>
      </c>
    </row>
    <row r="53" spans="1:5" x14ac:dyDescent="0.3">
      <c r="A53" t="s">
        <v>50</v>
      </c>
      <c r="B53" t="s">
        <v>39</v>
      </c>
      <c r="C53" s="1">
        <v>0.65</v>
      </c>
      <c r="D53" s="1">
        <v>47</v>
      </c>
      <c r="E53" s="7">
        <f t="shared" si="2"/>
        <v>33605</v>
      </c>
    </row>
    <row r="54" spans="1:5" x14ac:dyDescent="0.3">
      <c r="A54" t="s">
        <v>51</v>
      </c>
      <c r="B54" t="s">
        <v>39</v>
      </c>
      <c r="C54" s="1">
        <v>1.5</v>
      </c>
      <c r="D54" s="1">
        <v>23</v>
      </c>
      <c r="E54" s="7">
        <f t="shared" si="2"/>
        <v>37950</v>
      </c>
    </row>
    <row r="55" spans="1:5" x14ac:dyDescent="0.3">
      <c r="A55" t="s">
        <v>52</v>
      </c>
      <c r="B55" t="s">
        <v>39</v>
      </c>
      <c r="C55" s="1">
        <v>0.6</v>
      </c>
      <c r="D55" s="1">
        <v>20</v>
      </c>
      <c r="E55" s="7">
        <f t="shared" si="2"/>
        <v>13200</v>
      </c>
    </row>
    <row r="56" spans="1:5" x14ac:dyDescent="0.3">
      <c r="A56" t="s">
        <v>53</v>
      </c>
      <c r="B56" t="s">
        <v>39</v>
      </c>
      <c r="C56" s="1">
        <v>0.15</v>
      </c>
      <c r="D56" s="1">
        <v>10</v>
      </c>
      <c r="E56" s="7">
        <f t="shared" si="2"/>
        <v>1650</v>
      </c>
    </row>
    <row r="58" spans="1:5" x14ac:dyDescent="0.3">
      <c r="A58" s="16" t="s">
        <v>54</v>
      </c>
      <c r="B58" s="14"/>
      <c r="C58" s="14"/>
      <c r="D58" s="14"/>
      <c r="E58" s="18">
        <f>SUM(E45:E57)</f>
        <v>198055</v>
      </c>
    </row>
    <row r="60" spans="1:5" x14ac:dyDescent="0.3">
      <c r="A60" s="16" t="s">
        <v>55</v>
      </c>
      <c r="B60" s="17" t="s">
        <v>2</v>
      </c>
      <c r="C60" s="17" t="s">
        <v>32</v>
      </c>
      <c r="D60" s="17" t="s">
        <v>33</v>
      </c>
      <c r="E60" s="17" t="s">
        <v>34</v>
      </c>
    </row>
    <row r="61" spans="1:5" x14ac:dyDescent="0.3">
      <c r="A61" t="s">
        <v>56</v>
      </c>
      <c r="B61" t="s">
        <v>35</v>
      </c>
      <c r="C61" s="1"/>
      <c r="E61" s="7">
        <f t="shared" ref="E61:E62" si="3">+C61*D61*$C$9</f>
        <v>0</v>
      </c>
    </row>
    <row r="62" spans="1:5" x14ac:dyDescent="0.3">
      <c r="A62" t="s">
        <v>111</v>
      </c>
      <c r="B62" t="s">
        <v>35</v>
      </c>
      <c r="C62" s="1"/>
      <c r="E62" s="7">
        <f t="shared" si="3"/>
        <v>0</v>
      </c>
    </row>
    <row r="63" spans="1:5" x14ac:dyDescent="0.3">
      <c r="A63" t="s">
        <v>57</v>
      </c>
      <c r="B63" t="s">
        <v>35</v>
      </c>
      <c r="C63" s="1">
        <v>100</v>
      </c>
      <c r="D63" s="1">
        <v>0.7</v>
      </c>
      <c r="E63" s="7">
        <f>+C63*D63*$C$9</f>
        <v>77000</v>
      </c>
    </row>
    <row r="64" spans="1:5" x14ac:dyDescent="0.3">
      <c r="A64" t="s">
        <v>58</v>
      </c>
      <c r="B64" t="s">
        <v>35</v>
      </c>
      <c r="C64" s="1"/>
      <c r="D64" s="1"/>
      <c r="E64" s="7">
        <f t="shared" ref="E64:E66" si="4">+C64*D64*$C$9</f>
        <v>0</v>
      </c>
    </row>
    <row r="65" spans="1:5" x14ac:dyDescent="0.3">
      <c r="A65" t="s">
        <v>59</v>
      </c>
      <c r="B65" t="s">
        <v>35</v>
      </c>
      <c r="C65" s="1"/>
      <c r="D65" s="1"/>
      <c r="E65" s="7">
        <f t="shared" si="4"/>
        <v>0</v>
      </c>
    </row>
    <row r="66" spans="1:5" x14ac:dyDescent="0.3">
      <c r="A66" t="s">
        <v>60</v>
      </c>
      <c r="B66" t="s">
        <v>39</v>
      </c>
      <c r="C66" s="1">
        <v>0.7</v>
      </c>
      <c r="D66" s="1">
        <v>20</v>
      </c>
      <c r="E66" s="7">
        <f t="shared" si="4"/>
        <v>15400</v>
      </c>
    </row>
    <row r="67" spans="1:5" x14ac:dyDescent="0.3">
      <c r="A67" t="s">
        <v>61</v>
      </c>
      <c r="B67" t="s">
        <v>35</v>
      </c>
      <c r="C67" s="1">
        <v>200</v>
      </c>
      <c r="D67" s="1">
        <v>0.57999999999999996</v>
      </c>
      <c r="E67" s="7">
        <f>+C67*D67*$C$9</f>
        <v>127599.99999999999</v>
      </c>
    </row>
    <row r="69" spans="1:5" x14ac:dyDescent="0.3">
      <c r="A69" s="16" t="s">
        <v>121</v>
      </c>
      <c r="B69" s="14"/>
      <c r="C69" s="14"/>
      <c r="D69" s="14"/>
      <c r="E69" s="18">
        <f>SUM(E61:E68)</f>
        <v>220000</v>
      </c>
    </row>
    <row r="70" spans="1:5" x14ac:dyDescent="0.3">
      <c r="B70" s="11"/>
      <c r="C70" s="11"/>
      <c r="D70" s="11"/>
      <c r="E70" s="11"/>
    </row>
    <row r="71" spans="1:5" x14ac:dyDescent="0.3">
      <c r="A71" s="16" t="s">
        <v>62</v>
      </c>
      <c r="B71" s="17" t="s">
        <v>2</v>
      </c>
      <c r="C71" s="17" t="s">
        <v>32</v>
      </c>
      <c r="D71" s="17" t="s">
        <v>33</v>
      </c>
      <c r="E71" s="17" t="s">
        <v>34</v>
      </c>
    </row>
    <row r="72" spans="1:5" x14ac:dyDescent="0.3">
      <c r="A72" t="s">
        <v>63</v>
      </c>
      <c r="B72" t="s">
        <v>39</v>
      </c>
      <c r="C72" s="1">
        <v>1</v>
      </c>
      <c r="D72" s="1">
        <v>20</v>
      </c>
      <c r="E72" s="7">
        <f>+C72*D72*$C$9</f>
        <v>22000</v>
      </c>
    </row>
    <row r="73" spans="1:5" x14ac:dyDescent="0.3">
      <c r="A73" t="s">
        <v>64</v>
      </c>
      <c r="B73" t="s">
        <v>39</v>
      </c>
      <c r="E73" s="7">
        <f t="shared" ref="E73:E74" si="5">+C73*D73*$C$9</f>
        <v>0</v>
      </c>
    </row>
    <row r="74" spans="1:5" x14ac:dyDescent="0.3">
      <c r="A74" t="s">
        <v>65</v>
      </c>
      <c r="B74" t="s">
        <v>39</v>
      </c>
      <c r="E74" s="7">
        <f t="shared" si="5"/>
        <v>0</v>
      </c>
    </row>
    <row r="76" spans="1:5" x14ac:dyDescent="0.3">
      <c r="A76" s="16" t="s">
        <v>87</v>
      </c>
      <c r="B76" s="14"/>
      <c r="C76" s="14"/>
      <c r="D76" s="14"/>
      <c r="E76" s="19">
        <f>SUM(E72:E75)</f>
        <v>22000</v>
      </c>
    </row>
    <row r="78" spans="1:5" x14ac:dyDescent="0.3">
      <c r="A78" s="16" t="s">
        <v>66</v>
      </c>
      <c r="B78" s="17" t="s">
        <v>2</v>
      </c>
      <c r="C78" s="17" t="s">
        <v>32</v>
      </c>
      <c r="D78" s="17" t="s">
        <v>33</v>
      </c>
      <c r="E78" s="17" t="s">
        <v>34</v>
      </c>
    </row>
    <row r="79" spans="1:5" x14ac:dyDescent="0.3">
      <c r="A79" t="s">
        <v>67</v>
      </c>
      <c r="B79" t="s">
        <v>39</v>
      </c>
      <c r="C79" s="1">
        <v>450</v>
      </c>
      <c r="D79" s="1">
        <v>870</v>
      </c>
      <c r="E79" s="7">
        <f>+C79*D79</f>
        <v>391500</v>
      </c>
    </row>
    <row r="80" spans="1:5" x14ac:dyDescent="0.3">
      <c r="A80" t="s">
        <v>68</v>
      </c>
      <c r="B80" t="s">
        <v>39</v>
      </c>
      <c r="C80" s="1"/>
    </row>
    <row r="81" spans="1:5" x14ac:dyDescent="0.3">
      <c r="A81" t="s">
        <v>69</v>
      </c>
      <c r="B81" t="s">
        <v>39</v>
      </c>
      <c r="C81" s="1">
        <v>3</v>
      </c>
    </row>
    <row r="82" spans="1:5" x14ac:dyDescent="0.3">
      <c r="A82" t="s">
        <v>119</v>
      </c>
      <c r="B82" t="s">
        <v>86</v>
      </c>
      <c r="E82" s="7">
        <f>1031262*5*1/80</f>
        <v>64453.875</v>
      </c>
    </row>
    <row r="83" spans="1:5" x14ac:dyDescent="0.3">
      <c r="A83" t="s">
        <v>70</v>
      </c>
      <c r="E83" s="7"/>
    </row>
    <row r="84" spans="1:5" x14ac:dyDescent="0.3">
      <c r="A84" t="s">
        <v>120</v>
      </c>
      <c r="B84" t="s">
        <v>88</v>
      </c>
      <c r="E84" s="7">
        <f>10*C9</f>
        <v>11000</v>
      </c>
    </row>
    <row r="85" spans="1:5" x14ac:dyDescent="0.3">
      <c r="A85" t="s">
        <v>112</v>
      </c>
      <c r="D85" s="10"/>
      <c r="E85" s="7">
        <v>38000</v>
      </c>
    </row>
    <row r="87" spans="1:5" x14ac:dyDescent="0.3">
      <c r="A87" s="16" t="s">
        <v>72</v>
      </c>
      <c r="B87" s="14"/>
      <c r="C87" s="14"/>
      <c r="D87" s="14"/>
      <c r="E87" s="18">
        <f>+E35+E38+E42+E58+E69+E76+E79+E80+E81+E82+E83+E84+E85</f>
        <v>1448666.375</v>
      </c>
    </row>
    <row r="89" spans="1:5" x14ac:dyDescent="0.3">
      <c r="A89" s="16" t="s">
        <v>73</v>
      </c>
      <c r="B89" s="17" t="s">
        <v>2</v>
      </c>
      <c r="C89" s="17" t="s">
        <v>32</v>
      </c>
      <c r="D89" s="17" t="s">
        <v>33</v>
      </c>
      <c r="E89" s="17" t="s">
        <v>34</v>
      </c>
    </row>
    <row r="90" spans="1:5" x14ac:dyDescent="0.3">
      <c r="A90" t="s">
        <v>92</v>
      </c>
      <c r="B90" t="s">
        <v>35</v>
      </c>
      <c r="C90" s="1">
        <f>2.5%*C7</f>
        <v>212.5</v>
      </c>
      <c r="D90" s="1">
        <f>+C10</f>
        <v>240</v>
      </c>
      <c r="E90" s="7">
        <f>+C90*D90</f>
        <v>51000</v>
      </c>
    </row>
    <row r="91" spans="1:5" x14ac:dyDescent="0.3">
      <c r="A91" t="s">
        <v>84</v>
      </c>
      <c r="B91" t="s">
        <v>35</v>
      </c>
      <c r="C91" s="1">
        <f>1%*C7</f>
        <v>85</v>
      </c>
      <c r="D91" s="1">
        <f>+C10</f>
        <v>240</v>
      </c>
      <c r="E91" s="7">
        <f t="shared" ref="E91:E92" si="6">+C91*D91</f>
        <v>20400</v>
      </c>
    </row>
    <row r="92" spans="1:5" x14ac:dyDescent="0.3">
      <c r="A92" t="s">
        <v>82</v>
      </c>
      <c r="B92" t="s">
        <v>35</v>
      </c>
      <c r="C92" s="1">
        <v>750</v>
      </c>
      <c r="D92" s="1">
        <f>+C10</f>
        <v>240</v>
      </c>
      <c r="E92" s="7">
        <f t="shared" si="6"/>
        <v>180000</v>
      </c>
    </row>
    <row r="93" spans="1:5" x14ac:dyDescent="0.3">
      <c r="A93" t="s">
        <v>83</v>
      </c>
      <c r="B93" t="s">
        <v>35</v>
      </c>
      <c r="C93" s="1">
        <v>900</v>
      </c>
      <c r="D93" s="1">
        <f>+C10</f>
        <v>240</v>
      </c>
      <c r="E93" s="7">
        <f>+C93*D93</f>
        <v>216000</v>
      </c>
    </row>
    <row r="94" spans="1:5" x14ac:dyDescent="0.3">
      <c r="C94" s="1"/>
      <c r="D94" s="1"/>
    </row>
    <row r="95" spans="1:5" x14ac:dyDescent="0.3">
      <c r="A95" s="16" t="s">
        <v>122</v>
      </c>
      <c r="B95" s="14"/>
      <c r="C95" s="14"/>
      <c r="D95" s="14"/>
      <c r="E95" s="18">
        <f>SUM(E90:E94)</f>
        <v>467400</v>
      </c>
    </row>
    <row r="96" spans="1:5" x14ac:dyDescent="0.3">
      <c r="E96" s="8"/>
    </row>
    <row r="97" spans="1:7" x14ac:dyDescent="0.3">
      <c r="A97" s="14" t="s">
        <v>74</v>
      </c>
      <c r="B97" s="14"/>
      <c r="C97" s="14"/>
      <c r="D97" s="14"/>
      <c r="E97" s="20">
        <f>+E95+E87</f>
        <v>1916066.375</v>
      </c>
    </row>
    <row r="98" spans="1:7" x14ac:dyDescent="0.3">
      <c r="A98" t="s">
        <v>75</v>
      </c>
      <c r="E98" s="6">
        <f>50*C9</f>
        <v>55000</v>
      </c>
    </row>
    <row r="99" spans="1:7" x14ac:dyDescent="0.3">
      <c r="A99" t="s">
        <v>76</v>
      </c>
      <c r="E99" s="7">
        <f>30*C9</f>
        <v>33000</v>
      </c>
    </row>
    <row r="101" spans="1:7" x14ac:dyDescent="0.3">
      <c r="A101" s="16" t="s">
        <v>116</v>
      </c>
      <c r="B101" s="14"/>
      <c r="C101" s="14"/>
      <c r="D101" s="14"/>
      <c r="E101" s="18">
        <f>+E97+E98+E99</f>
        <v>2004066.375</v>
      </c>
      <c r="G101">
        <f>+E101/C9</f>
        <v>1821.8785227272726</v>
      </c>
    </row>
    <row r="103" spans="1:7" x14ac:dyDescent="0.3">
      <c r="A103" s="37" t="s">
        <v>105</v>
      </c>
      <c r="B103" s="37"/>
      <c r="C103" s="37"/>
      <c r="D103" s="37"/>
      <c r="E103" s="37"/>
    </row>
    <row r="104" spans="1:7" x14ac:dyDescent="0.3">
      <c r="A104" s="24"/>
      <c r="B104" s="24"/>
      <c r="C104" s="24"/>
      <c r="D104" s="38" t="s">
        <v>78</v>
      </c>
      <c r="E104" s="38"/>
    </row>
    <row r="105" spans="1:7" x14ac:dyDescent="0.3">
      <c r="A105" s="24" t="s">
        <v>77</v>
      </c>
      <c r="B105" s="24"/>
      <c r="C105" s="24"/>
      <c r="D105" s="25">
        <f>+C16-E97</f>
        <v>-115893.875</v>
      </c>
      <c r="E105" s="26">
        <f>+D105/$C$9</f>
        <v>-105.35806818181818</v>
      </c>
    </row>
    <row r="106" spans="1:7" x14ac:dyDescent="0.3">
      <c r="A106" s="24" t="s">
        <v>79</v>
      </c>
      <c r="B106" s="24"/>
      <c r="C106" s="24"/>
      <c r="D106" s="25">
        <f>+D105-E98-E99</f>
        <v>-203893.875</v>
      </c>
      <c r="E106" s="26">
        <f>+D106/$C$9</f>
        <v>-185.35806818181817</v>
      </c>
    </row>
    <row r="107" spans="1:7" x14ac:dyDescent="0.3">
      <c r="A107" s="24" t="s">
        <v>80</v>
      </c>
      <c r="B107" s="24"/>
      <c r="C107" s="24"/>
      <c r="D107" s="31">
        <f>+D106/E97</f>
        <v>-0.10641274105131145</v>
      </c>
      <c r="E107" s="31"/>
    </row>
    <row r="108" spans="1:7" x14ac:dyDescent="0.3">
      <c r="A108" s="24" t="s">
        <v>81</v>
      </c>
      <c r="B108" s="24"/>
      <c r="C108" s="24" t="s">
        <v>5</v>
      </c>
      <c r="D108" s="32">
        <f>+E101/C17</f>
        <v>9462.7399249238624</v>
      </c>
      <c r="E108" s="32"/>
    </row>
    <row r="110" spans="1:7" x14ac:dyDescent="0.3">
      <c r="A110" t="s">
        <v>113</v>
      </c>
    </row>
    <row r="111" spans="1:7" x14ac:dyDescent="0.3">
      <c r="A111" t="s">
        <v>114</v>
      </c>
    </row>
    <row r="112" spans="1:7" x14ac:dyDescent="0.3">
      <c r="A112" t="s">
        <v>106</v>
      </c>
    </row>
  </sheetData>
  <mergeCells count="9">
    <mergeCell ref="A1:E1"/>
    <mergeCell ref="D107:E107"/>
    <mergeCell ref="D108:E108"/>
    <mergeCell ref="A2:E2"/>
    <mergeCell ref="A3:E3"/>
    <mergeCell ref="A4:C4"/>
    <mergeCell ref="A19:C19"/>
    <mergeCell ref="A103:E103"/>
    <mergeCell ref="D104:E10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4"/>
  <sheetViews>
    <sheetView topLeftCell="A85" workbookViewId="0">
      <selection activeCell="A97" sqref="A97"/>
    </sheetView>
  </sheetViews>
  <sheetFormatPr baseColWidth="10" defaultColWidth="9.109375" defaultRowHeight="14.4" x14ac:dyDescent="0.3"/>
  <cols>
    <col min="1" max="1" width="49.88671875" bestFit="1" customWidth="1"/>
    <col min="2" max="2" width="10.88671875" bestFit="1" customWidth="1"/>
    <col min="3" max="3" width="12.88671875" bestFit="1" customWidth="1"/>
    <col min="4" max="4" width="13.6640625" bestFit="1" customWidth="1"/>
    <col min="5" max="5" width="14.5546875" customWidth="1"/>
  </cols>
  <sheetData>
    <row r="1" spans="1:5" ht="61.8" customHeight="1" x14ac:dyDescent="0.3">
      <c r="A1" s="30"/>
      <c r="B1" s="30"/>
      <c r="C1" s="30"/>
      <c r="D1" s="30"/>
      <c r="E1" s="30"/>
    </row>
    <row r="2" spans="1:5" ht="15.6" x14ac:dyDescent="0.3">
      <c r="A2" s="39" t="s">
        <v>94</v>
      </c>
      <c r="B2" s="34"/>
      <c r="C2" s="34"/>
      <c r="D2" s="34"/>
      <c r="E2" s="34"/>
    </row>
    <row r="3" spans="1:5" ht="18" x14ac:dyDescent="0.35">
      <c r="A3" s="40" t="s">
        <v>107</v>
      </c>
      <c r="B3" s="41"/>
      <c r="C3" s="41"/>
      <c r="D3" s="41"/>
      <c r="E3" s="41"/>
    </row>
    <row r="4" spans="1:5" x14ac:dyDescent="0.3">
      <c r="A4" s="36" t="s">
        <v>16</v>
      </c>
      <c r="B4" s="36"/>
      <c r="C4" s="36"/>
    </row>
    <row r="6" spans="1:5" x14ac:dyDescent="0.3">
      <c r="A6" s="21" t="s">
        <v>1</v>
      </c>
      <c r="B6" s="22" t="s">
        <v>2</v>
      </c>
      <c r="C6" s="22" t="s">
        <v>3</v>
      </c>
    </row>
    <row r="7" spans="1:5" x14ac:dyDescent="0.3">
      <c r="A7" t="s">
        <v>0</v>
      </c>
      <c r="B7" s="1" t="s">
        <v>5</v>
      </c>
      <c r="C7" s="2">
        <v>8500</v>
      </c>
    </row>
    <row r="8" spans="1:5" x14ac:dyDescent="0.3">
      <c r="A8" t="s">
        <v>96</v>
      </c>
      <c r="B8" s="1" t="s">
        <v>6</v>
      </c>
      <c r="C8" s="3">
        <v>0.22</v>
      </c>
    </row>
    <row r="9" spans="1:5" x14ac:dyDescent="0.3">
      <c r="A9" t="s">
        <v>4</v>
      </c>
      <c r="B9" s="1" t="s">
        <v>7</v>
      </c>
      <c r="C9" s="2">
        <v>1100</v>
      </c>
    </row>
    <row r="10" spans="1:5" x14ac:dyDescent="0.3">
      <c r="A10" t="s">
        <v>108</v>
      </c>
      <c r="B10" s="1" t="s">
        <v>8</v>
      </c>
      <c r="C10" s="2">
        <v>240</v>
      </c>
    </row>
    <row r="11" spans="1:5" x14ac:dyDescent="0.3">
      <c r="A11" t="s">
        <v>13</v>
      </c>
      <c r="B11" s="1" t="s">
        <v>9</v>
      </c>
      <c r="C11" s="2">
        <f>+C7*C10</f>
        <v>2040000</v>
      </c>
    </row>
    <row r="12" spans="1:5" x14ac:dyDescent="0.3">
      <c r="A12" t="s">
        <v>98</v>
      </c>
      <c r="B12" s="1" t="s">
        <v>10</v>
      </c>
      <c r="C12" s="4">
        <v>7.0000000000000007E-2</v>
      </c>
    </row>
    <row r="13" spans="1:5" x14ac:dyDescent="0.3">
      <c r="A13" t="s">
        <v>98</v>
      </c>
      <c r="B13" s="1" t="s">
        <v>9</v>
      </c>
      <c r="C13" s="2">
        <f>+(C7+(C7*10%))*C12*C10</f>
        <v>157080.00000000003</v>
      </c>
    </row>
    <row r="14" spans="1:5" x14ac:dyDescent="0.3">
      <c r="A14" t="s">
        <v>11</v>
      </c>
      <c r="B14" s="1" t="s">
        <v>12</v>
      </c>
      <c r="C14" s="2">
        <v>8850</v>
      </c>
    </row>
    <row r="15" spans="1:5" x14ac:dyDescent="0.3">
      <c r="A15" t="s">
        <v>11</v>
      </c>
      <c r="B15" s="1" t="s">
        <v>9</v>
      </c>
      <c r="C15" s="2">
        <f>+C14*(((C7+(C7*10%))/1000))</f>
        <v>82747.5</v>
      </c>
    </row>
    <row r="16" spans="1:5" x14ac:dyDescent="0.3">
      <c r="A16" t="s">
        <v>14</v>
      </c>
      <c r="B16" s="1" t="s">
        <v>15</v>
      </c>
      <c r="C16" s="2">
        <f>+C11-C13-C15</f>
        <v>1800172.5</v>
      </c>
    </row>
    <row r="17" spans="1:5" x14ac:dyDescent="0.3">
      <c r="A17" t="s">
        <v>99</v>
      </c>
      <c r="B17" s="1" t="s">
        <v>8</v>
      </c>
      <c r="C17" s="5">
        <f>+C16/C7</f>
        <v>211.785</v>
      </c>
    </row>
    <row r="19" spans="1:5" x14ac:dyDescent="0.3">
      <c r="A19" s="36" t="s">
        <v>17</v>
      </c>
      <c r="B19" s="36"/>
      <c r="C19" s="36"/>
    </row>
    <row r="20" spans="1:5" x14ac:dyDescent="0.3">
      <c r="A20" t="s">
        <v>1</v>
      </c>
      <c r="B20" s="1" t="s">
        <v>2</v>
      </c>
      <c r="C20" s="1" t="s">
        <v>3</v>
      </c>
    </row>
    <row r="21" spans="1:5" x14ac:dyDescent="0.3">
      <c r="A21" s="21" t="s">
        <v>18</v>
      </c>
      <c r="B21" s="22" t="s">
        <v>9</v>
      </c>
      <c r="C21" s="21">
        <f>1130*45</f>
        <v>50850</v>
      </c>
    </row>
    <row r="22" spans="1:5" x14ac:dyDescent="0.3">
      <c r="A22" s="16" t="s">
        <v>19</v>
      </c>
      <c r="B22" s="17" t="s">
        <v>21</v>
      </c>
      <c r="C22" s="16" t="s">
        <v>22</v>
      </c>
      <c r="D22" s="17" t="s">
        <v>24</v>
      </c>
      <c r="E22" s="16" t="s">
        <v>23</v>
      </c>
    </row>
    <row r="23" spans="1:5" x14ac:dyDescent="0.3">
      <c r="A23" t="s">
        <v>20</v>
      </c>
      <c r="B23" s="1">
        <v>2</v>
      </c>
      <c r="C23" s="1">
        <v>1</v>
      </c>
      <c r="D23" s="1">
        <f>+$C$21</f>
        <v>50850</v>
      </c>
      <c r="E23" s="6">
        <f>+B23*C23*D23</f>
        <v>101700</v>
      </c>
    </row>
    <row r="24" spans="1:5" x14ac:dyDescent="0.3">
      <c r="A24" t="s">
        <v>100</v>
      </c>
      <c r="B24" s="1">
        <v>2</v>
      </c>
      <c r="C24" s="1">
        <v>0.6</v>
      </c>
      <c r="D24" s="1">
        <f t="shared" ref="D24:D33" si="0">+$C$21</f>
        <v>50850</v>
      </c>
      <c r="E24" s="6">
        <f>+B24*C24*D24</f>
        <v>61020</v>
      </c>
    </row>
    <row r="25" spans="1:5" x14ac:dyDescent="0.3">
      <c r="A25" t="s">
        <v>101</v>
      </c>
      <c r="B25" s="1">
        <v>1</v>
      </c>
      <c r="C25" s="1">
        <v>0.25</v>
      </c>
      <c r="D25" s="1">
        <f t="shared" si="0"/>
        <v>50850</v>
      </c>
      <c r="E25" s="6">
        <f>+B25*C25*D25</f>
        <v>12712.5</v>
      </c>
    </row>
    <row r="26" spans="1:5" x14ac:dyDescent="0.3">
      <c r="A26" t="s">
        <v>28</v>
      </c>
      <c r="B26" s="1">
        <v>2</v>
      </c>
      <c r="C26" s="1">
        <v>0.3</v>
      </c>
      <c r="D26" s="1">
        <f t="shared" si="0"/>
        <v>50850</v>
      </c>
      <c r="E26" s="6">
        <f t="shared" ref="E26:E33" si="1">+B26*C26*D26</f>
        <v>30510</v>
      </c>
    </row>
    <row r="27" spans="1:5" x14ac:dyDescent="0.3">
      <c r="A27" t="s">
        <v>25</v>
      </c>
      <c r="B27" s="1">
        <v>1</v>
      </c>
      <c r="C27" s="1">
        <v>1</v>
      </c>
      <c r="D27" s="1">
        <f t="shared" si="0"/>
        <v>50850</v>
      </c>
      <c r="E27" s="6">
        <f t="shared" si="1"/>
        <v>50850</v>
      </c>
    </row>
    <row r="28" spans="1:5" x14ac:dyDescent="0.3">
      <c r="A28" t="s">
        <v>110</v>
      </c>
      <c r="B28" s="1">
        <v>1</v>
      </c>
      <c r="C28" s="1">
        <v>1</v>
      </c>
      <c r="D28" s="1">
        <f t="shared" si="0"/>
        <v>50850</v>
      </c>
      <c r="E28" s="6">
        <f t="shared" si="1"/>
        <v>50850</v>
      </c>
    </row>
    <row r="29" spans="1:5" x14ac:dyDescent="0.3">
      <c r="A29" t="s">
        <v>102</v>
      </c>
      <c r="B29" s="1">
        <v>2</v>
      </c>
      <c r="C29" s="1">
        <v>0.3</v>
      </c>
      <c r="D29" s="1">
        <f t="shared" si="0"/>
        <v>50850</v>
      </c>
      <c r="E29" s="6">
        <f t="shared" si="1"/>
        <v>30510</v>
      </c>
    </row>
    <row r="30" spans="1:5" x14ac:dyDescent="0.3">
      <c r="A30" t="s">
        <v>103</v>
      </c>
      <c r="B30" s="1">
        <v>1</v>
      </c>
      <c r="C30" s="1">
        <v>0.3</v>
      </c>
      <c r="D30" s="1">
        <f t="shared" si="0"/>
        <v>50850</v>
      </c>
      <c r="E30" s="6">
        <f t="shared" si="1"/>
        <v>15255</v>
      </c>
    </row>
    <row r="31" spans="1:5" x14ac:dyDescent="0.3">
      <c r="A31" t="s">
        <v>29</v>
      </c>
      <c r="B31" s="1">
        <v>1</v>
      </c>
      <c r="C31" s="1">
        <v>0.6</v>
      </c>
      <c r="D31" s="1">
        <f t="shared" si="0"/>
        <v>50850</v>
      </c>
      <c r="E31" s="6">
        <f t="shared" si="1"/>
        <v>30510</v>
      </c>
    </row>
    <row r="32" spans="1:5" x14ac:dyDescent="0.3">
      <c r="A32" t="s">
        <v>26</v>
      </c>
      <c r="B32" s="1">
        <v>1</v>
      </c>
      <c r="C32" s="1">
        <v>0.25</v>
      </c>
      <c r="D32" s="1">
        <f t="shared" si="0"/>
        <v>50850</v>
      </c>
      <c r="E32" s="6">
        <f t="shared" si="1"/>
        <v>12712.5</v>
      </c>
    </row>
    <row r="33" spans="1:5" x14ac:dyDescent="0.3">
      <c r="A33" t="s">
        <v>27</v>
      </c>
      <c r="B33" s="1">
        <v>2</v>
      </c>
      <c r="C33" s="1">
        <v>0.3</v>
      </c>
      <c r="D33" s="1">
        <f t="shared" si="0"/>
        <v>50850</v>
      </c>
      <c r="E33" s="6">
        <f t="shared" si="1"/>
        <v>30510</v>
      </c>
    </row>
    <row r="35" spans="1:5" s="11" customFormat="1" x14ac:dyDescent="0.3">
      <c r="A35" s="16" t="s">
        <v>30</v>
      </c>
      <c r="B35" s="16"/>
      <c r="C35" s="16"/>
      <c r="D35" s="16"/>
      <c r="E35" s="23">
        <f>SUM(E23:E34)</f>
        <v>427140</v>
      </c>
    </row>
    <row r="37" spans="1:5" x14ac:dyDescent="0.3">
      <c r="A37" s="16" t="s">
        <v>31</v>
      </c>
      <c r="B37" s="17" t="s">
        <v>2</v>
      </c>
      <c r="C37" s="17" t="s">
        <v>32</v>
      </c>
      <c r="D37" s="17" t="s">
        <v>33</v>
      </c>
      <c r="E37" s="17" t="s">
        <v>34</v>
      </c>
    </row>
    <row r="38" spans="1:5" x14ac:dyDescent="0.3">
      <c r="A38" t="s">
        <v>85</v>
      </c>
      <c r="B38" t="s">
        <v>35</v>
      </c>
      <c r="C38" s="1">
        <v>130</v>
      </c>
      <c r="D38" s="1">
        <f>+C10*2</f>
        <v>480</v>
      </c>
      <c r="E38" s="7">
        <f>+C38*D38</f>
        <v>62400</v>
      </c>
    </row>
    <row r="39" spans="1:5" x14ac:dyDescent="0.3">
      <c r="A39" s="16" t="s">
        <v>36</v>
      </c>
      <c r="B39" s="16"/>
      <c r="C39" s="16"/>
      <c r="D39" s="16"/>
      <c r="E39" s="16"/>
    </row>
    <row r="40" spans="1:5" x14ac:dyDescent="0.3">
      <c r="A40" t="s">
        <v>37</v>
      </c>
      <c r="B40" t="s">
        <v>39</v>
      </c>
      <c r="C40" s="1">
        <v>0.2</v>
      </c>
      <c r="D40" s="1">
        <v>7</v>
      </c>
      <c r="E40" s="7">
        <f>+C40*D40*$C$9</f>
        <v>1540.0000000000002</v>
      </c>
    </row>
    <row r="41" spans="1:5" x14ac:dyDescent="0.3">
      <c r="A41" t="s">
        <v>38</v>
      </c>
      <c r="B41" t="s">
        <v>39</v>
      </c>
      <c r="C41" s="1">
        <v>0.3</v>
      </c>
      <c r="D41" s="1">
        <v>15</v>
      </c>
      <c r="E41" s="7">
        <f>+C41*D41*$C$9</f>
        <v>4950</v>
      </c>
    </row>
    <row r="42" spans="1:5" x14ac:dyDescent="0.3">
      <c r="A42" s="16" t="s">
        <v>41</v>
      </c>
      <c r="B42" s="16"/>
      <c r="C42" s="16"/>
      <c r="D42" s="16"/>
      <c r="E42" s="19">
        <f>+E40+E41</f>
        <v>6490</v>
      </c>
    </row>
    <row r="43" spans="1:5" x14ac:dyDescent="0.3">
      <c r="A43" s="11"/>
      <c r="B43" s="11"/>
      <c r="C43" s="11"/>
      <c r="D43" s="11"/>
      <c r="E43" s="29"/>
    </row>
    <row r="44" spans="1:5" x14ac:dyDescent="0.3">
      <c r="A44" s="16" t="s">
        <v>40</v>
      </c>
      <c r="B44" s="17" t="s">
        <v>2</v>
      </c>
      <c r="C44" s="17" t="s">
        <v>32</v>
      </c>
      <c r="D44" s="17" t="s">
        <v>33</v>
      </c>
      <c r="E44" s="17" t="s">
        <v>34</v>
      </c>
    </row>
    <row r="45" spans="1:5" x14ac:dyDescent="0.3">
      <c r="A45" t="s">
        <v>42</v>
      </c>
      <c r="B45" t="s">
        <v>39</v>
      </c>
      <c r="E45" s="7">
        <f>+C45*D45*$C$9</f>
        <v>0</v>
      </c>
    </row>
    <row r="46" spans="1:5" x14ac:dyDescent="0.3">
      <c r="A46" t="s">
        <v>43</v>
      </c>
      <c r="B46" t="s">
        <v>39</v>
      </c>
      <c r="E46" s="7">
        <f t="shared" ref="E46:E56" si="2">+C46*D46*$C$9</f>
        <v>0</v>
      </c>
    </row>
    <row r="47" spans="1:5" x14ac:dyDescent="0.3">
      <c r="A47" t="s">
        <v>44</v>
      </c>
      <c r="B47" t="s">
        <v>39</v>
      </c>
      <c r="C47" s="1">
        <v>1.2</v>
      </c>
      <c r="D47" s="9">
        <v>30</v>
      </c>
      <c r="E47" s="7">
        <f t="shared" si="2"/>
        <v>39600</v>
      </c>
    </row>
    <row r="48" spans="1:5" x14ac:dyDescent="0.3">
      <c r="A48" t="s">
        <v>45</v>
      </c>
      <c r="B48" t="s">
        <v>39</v>
      </c>
      <c r="C48" s="1">
        <v>5</v>
      </c>
      <c r="D48" s="1">
        <v>6</v>
      </c>
      <c r="E48" s="7">
        <f t="shared" si="2"/>
        <v>33000</v>
      </c>
    </row>
    <row r="49" spans="1:5" x14ac:dyDescent="0.3">
      <c r="A49" t="s">
        <v>46</v>
      </c>
      <c r="B49" t="s">
        <v>35</v>
      </c>
      <c r="C49" s="1"/>
      <c r="E49" s="7">
        <f t="shared" si="2"/>
        <v>0</v>
      </c>
    </row>
    <row r="50" spans="1:5" x14ac:dyDescent="0.3">
      <c r="A50" t="s">
        <v>47</v>
      </c>
      <c r="B50" t="s">
        <v>39</v>
      </c>
      <c r="C50" s="1">
        <v>0.7</v>
      </c>
      <c r="D50" s="1">
        <v>16</v>
      </c>
      <c r="E50" s="7">
        <f t="shared" si="2"/>
        <v>12320</v>
      </c>
    </row>
    <row r="51" spans="1:5" x14ac:dyDescent="0.3">
      <c r="A51" t="s">
        <v>48</v>
      </c>
      <c r="B51" t="s">
        <v>39</v>
      </c>
      <c r="C51" s="1">
        <v>0.5</v>
      </c>
      <c r="D51" s="1">
        <v>15</v>
      </c>
      <c r="E51" s="7">
        <f t="shared" si="2"/>
        <v>8250</v>
      </c>
    </row>
    <row r="52" spans="1:5" x14ac:dyDescent="0.3">
      <c r="A52" t="s">
        <v>49</v>
      </c>
      <c r="B52" t="s">
        <v>39</v>
      </c>
      <c r="C52" s="1">
        <v>2.8</v>
      </c>
      <c r="D52" s="1">
        <v>15</v>
      </c>
      <c r="E52" s="7">
        <f>+C52*D52*$C$9*0.4</f>
        <v>18480</v>
      </c>
    </row>
    <row r="53" spans="1:5" x14ac:dyDescent="0.3">
      <c r="A53" t="s">
        <v>50</v>
      </c>
      <c r="B53" t="s">
        <v>39</v>
      </c>
      <c r="C53" s="1">
        <v>0.65</v>
      </c>
      <c r="D53" s="1">
        <v>47</v>
      </c>
      <c r="E53" s="7">
        <f t="shared" si="2"/>
        <v>33605</v>
      </c>
    </row>
    <row r="54" spans="1:5" x14ac:dyDescent="0.3">
      <c r="A54" t="s">
        <v>51</v>
      </c>
      <c r="B54" t="s">
        <v>39</v>
      </c>
      <c r="C54" s="1">
        <v>1.5</v>
      </c>
      <c r="D54" s="1">
        <v>23</v>
      </c>
      <c r="E54" s="7">
        <f t="shared" si="2"/>
        <v>37950</v>
      </c>
    </row>
    <row r="55" spans="1:5" x14ac:dyDescent="0.3">
      <c r="A55" t="s">
        <v>52</v>
      </c>
      <c r="B55" t="s">
        <v>39</v>
      </c>
      <c r="C55" s="1">
        <v>0.6</v>
      </c>
      <c r="D55" s="1">
        <v>20</v>
      </c>
      <c r="E55" s="7">
        <f t="shared" si="2"/>
        <v>13200</v>
      </c>
    </row>
    <row r="56" spans="1:5" x14ac:dyDescent="0.3">
      <c r="A56" t="s">
        <v>53</v>
      </c>
      <c r="B56" t="s">
        <v>39</v>
      </c>
      <c r="C56" s="1">
        <v>0.15</v>
      </c>
      <c r="D56" s="1">
        <v>10</v>
      </c>
      <c r="E56" s="7">
        <f t="shared" si="2"/>
        <v>1650</v>
      </c>
    </row>
    <row r="58" spans="1:5" x14ac:dyDescent="0.3">
      <c r="A58" s="16" t="s">
        <v>54</v>
      </c>
      <c r="B58" s="14"/>
      <c r="C58" s="14"/>
      <c r="D58" s="14"/>
      <c r="E58" s="18">
        <f>SUM(E45:E57)</f>
        <v>198055</v>
      </c>
    </row>
    <row r="61" spans="1:5" x14ac:dyDescent="0.3">
      <c r="A61" s="16" t="s">
        <v>55</v>
      </c>
      <c r="B61" s="17" t="s">
        <v>2</v>
      </c>
      <c r="C61" s="17" t="s">
        <v>32</v>
      </c>
      <c r="D61" s="17" t="s">
        <v>33</v>
      </c>
      <c r="E61" s="17" t="s">
        <v>34</v>
      </c>
    </row>
    <row r="62" spans="1:5" x14ac:dyDescent="0.3">
      <c r="A62" t="s">
        <v>56</v>
      </c>
      <c r="B62" t="s">
        <v>35</v>
      </c>
      <c r="C62" s="1"/>
      <c r="E62" s="7">
        <f t="shared" ref="E62:E63" si="3">+C62*D62*$C$9</f>
        <v>0</v>
      </c>
    </row>
    <row r="63" spans="1:5" x14ac:dyDescent="0.3">
      <c r="A63" t="s">
        <v>111</v>
      </c>
      <c r="B63" t="s">
        <v>35</v>
      </c>
      <c r="C63" s="1"/>
      <c r="E63" s="7">
        <f t="shared" si="3"/>
        <v>0</v>
      </c>
    </row>
    <row r="64" spans="1:5" x14ac:dyDescent="0.3">
      <c r="A64" t="s">
        <v>57</v>
      </c>
      <c r="B64" t="s">
        <v>35</v>
      </c>
      <c r="C64" s="1">
        <v>100</v>
      </c>
      <c r="D64" s="1">
        <v>0.7</v>
      </c>
      <c r="E64" s="7">
        <f>+C64*D64*$C$9</f>
        <v>77000</v>
      </c>
    </row>
    <row r="65" spans="1:5" x14ac:dyDescent="0.3">
      <c r="A65" t="s">
        <v>58</v>
      </c>
      <c r="B65" t="s">
        <v>35</v>
      </c>
      <c r="C65" s="1"/>
      <c r="D65" s="1"/>
      <c r="E65" s="7">
        <f t="shared" ref="E65:E67" si="4">+C65*D65*$C$9</f>
        <v>0</v>
      </c>
    </row>
    <row r="66" spans="1:5" x14ac:dyDescent="0.3">
      <c r="A66" t="s">
        <v>59</v>
      </c>
      <c r="B66" t="s">
        <v>35</v>
      </c>
      <c r="C66" s="1"/>
      <c r="D66" s="1"/>
      <c r="E66" s="7">
        <f t="shared" si="4"/>
        <v>0</v>
      </c>
    </row>
    <row r="67" spans="1:5" x14ac:dyDescent="0.3">
      <c r="A67" t="s">
        <v>60</v>
      </c>
      <c r="B67" t="s">
        <v>39</v>
      </c>
      <c r="C67" s="1">
        <v>0.7</v>
      </c>
      <c r="D67" s="1">
        <v>20</v>
      </c>
      <c r="E67" s="7">
        <f t="shared" si="4"/>
        <v>15400</v>
      </c>
    </row>
    <row r="68" spans="1:5" x14ac:dyDescent="0.3">
      <c r="A68" t="s">
        <v>61</v>
      </c>
      <c r="B68" t="s">
        <v>35</v>
      </c>
      <c r="C68" s="1">
        <v>200</v>
      </c>
      <c r="D68" s="1">
        <v>0.57999999999999996</v>
      </c>
      <c r="E68" s="7">
        <f>+C68*D68*$C$9</f>
        <v>127599.99999999999</v>
      </c>
    </row>
    <row r="70" spans="1:5" x14ac:dyDescent="0.3">
      <c r="A70" s="16" t="s">
        <v>121</v>
      </c>
      <c r="B70" s="14"/>
      <c r="C70" s="14"/>
      <c r="D70" s="14"/>
      <c r="E70" s="18">
        <f>SUM(E62:E69)</f>
        <v>220000</v>
      </c>
    </row>
    <row r="71" spans="1:5" x14ac:dyDescent="0.3">
      <c r="B71" s="11"/>
      <c r="C71" s="11"/>
      <c r="D71" s="11"/>
      <c r="E71" s="11"/>
    </row>
    <row r="72" spans="1:5" x14ac:dyDescent="0.3">
      <c r="A72" s="16" t="s">
        <v>62</v>
      </c>
      <c r="B72" s="17" t="s">
        <v>2</v>
      </c>
      <c r="C72" s="17" t="s">
        <v>32</v>
      </c>
      <c r="D72" s="17" t="s">
        <v>33</v>
      </c>
      <c r="E72" s="17" t="s">
        <v>34</v>
      </c>
    </row>
    <row r="73" spans="1:5" x14ac:dyDescent="0.3">
      <c r="A73" t="s">
        <v>63</v>
      </c>
      <c r="B73" t="s">
        <v>39</v>
      </c>
      <c r="C73" s="1">
        <v>1</v>
      </c>
      <c r="D73" s="1">
        <v>20</v>
      </c>
      <c r="E73" s="7">
        <f>+C73*D73*$C$9</f>
        <v>22000</v>
      </c>
    </row>
    <row r="74" spans="1:5" x14ac:dyDescent="0.3">
      <c r="A74" t="s">
        <v>64</v>
      </c>
      <c r="B74" t="s">
        <v>39</v>
      </c>
      <c r="E74" s="7">
        <f t="shared" ref="E74:E75" si="5">+C74*D74*$C$9</f>
        <v>0</v>
      </c>
    </row>
    <row r="75" spans="1:5" x14ac:dyDescent="0.3">
      <c r="A75" t="s">
        <v>65</v>
      </c>
      <c r="B75" t="s">
        <v>39</v>
      </c>
      <c r="E75" s="7">
        <f t="shared" si="5"/>
        <v>0</v>
      </c>
    </row>
    <row r="77" spans="1:5" x14ac:dyDescent="0.3">
      <c r="A77" s="16" t="s">
        <v>87</v>
      </c>
      <c r="B77" s="14"/>
      <c r="C77" s="14"/>
      <c r="D77" s="14"/>
      <c r="E77" s="19">
        <f>SUM(E73:E76)</f>
        <v>22000</v>
      </c>
    </row>
    <row r="79" spans="1:5" x14ac:dyDescent="0.3">
      <c r="A79" s="16" t="s">
        <v>66</v>
      </c>
      <c r="B79" s="17" t="s">
        <v>2</v>
      </c>
      <c r="C79" s="17" t="s">
        <v>32</v>
      </c>
      <c r="D79" s="17" t="s">
        <v>33</v>
      </c>
      <c r="E79" s="17" t="s">
        <v>34</v>
      </c>
    </row>
    <row r="80" spans="1:5" x14ac:dyDescent="0.3">
      <c r="A80" t="s">
        <v>67</v>
      </c>
      <c r="B80" t="s">
        <v>39</v>
      </c>
      <c r="C80" s="1">
        <v>150</v>
      </c>
      <c r="D80" s="1">
        <v>870</v>
      </c>
      <c r="E80" s="7">
        <f>+C80*D80</f>
        <v>130500</v>
      </c>
    </row>
    <row r="81" spans="1:5" x14ac:dyDescent="0.3">
      <c r="A81" t="s">
        <v>68</v>
      </c>
      <c r="B81" t="s">
        <v>39</v>
      </c>
      <c r="C81" s="1"/>
    </row>
    <row r="82" spans="1:5" x14ac:dyDescent="0.3">
      <c r="A82" t="s">
        <v>69</v>
      </c>
      <c r="B82" t="s">
        <v>39</v>
      </c>
      <c r="C82" s="1">
        <v>3</v>
      </c>
    </row>
    <row r="83" spans="1:5" x14ac:dyDescent="0.3">
      <c r="A83" t="s">
        <v>119</v>
      </c>
      <c r="B83" t="s">
        <v>86</v>
      </c>
      <c r="E83" s="7">
        <f>1031262*5*1/120</f>
        <v>42969.25</v>
      </c>
    </row>
    <row r="84" spans="1:5" x14ac:dyDescent="0.3">
      <c r="A84" t="s">
        <v>70</v>
      </c>
      <c r="E84" s="7"/>
    </row>
    <row r="85" spans="1:5" x14ac:dyDescent="0.3">
      <c r="A85" t="s">
        <v>120</v>
      </c>
      <c r="B85" t="s">
        <v>88</v>
      </c>
      <c r="E85" s="7">
        <f>10*C9</f>
        <v>11000</v>
      </c>
    </row>
    <row r="86" spans="1:5" x14ac:dyDescent="0.3">
      <c r="A86" t="s">
        <v>112</v>
      </c>
      <c r="D86" s="10"/>
      <c r="E86" s="7">
        <v>38000</v>
      </c>
    </row>
    <row r="87" spans="1:5" x14ac:dyDescent="0.3">
      <c r="A87" t="s">
        <v>71</v>
      </c>
      <c r="E87" s="7">
        <f>15*C9</f>
        <v>16500</v>
      </c>
    </row>
    <row r="89" spans="1:5" x14ac:dyDescent="0.3">
      <c r="A89" s="16" t="s">
        <v>72</v>
      </c>
      <c r="B89" s="14"/>
      <c r="C89" s="14"/>
      <c r="D89" s="14"/>
      <c r="E89" s="18">
        <f>+E35+E38+E42+E58+E70+E77+E80+E81+E82+E83+E84+E85+E86+E87</f>
        <v>1175054.25</v>
      </c>
    </row>
    <row r="91" spans="1:5" x14ac:dyDescent="0.3">
      <c r="A91" s="16" t="s">
        <v>73</v>
      </c>
      <c r="B91" s="17" t="s">
        <v>2</v>
      </c>
      <c r="C91" s="17" t="s">
        <v>32</v>
      </c>
      <c r="D91" s="17" t="s">
        <v>33</v>
      </c>
      <c r="E91" s="17" t="s">
        <v>34</v>
      </c>
    </row>
    <row r="92" spans="1:5" x14ac:dyDescent="0.3">
      <c r="A92" t="s">
        <v>92</v>
      </c>
      <c r="B92" t="s">
        <v>35</v>
      </c>
      <c r="C92" s="1">
        <f>2%*C7</f>
        <v>170</v>
      </c>
      <c r="D92" s="1">
        <f>+C10</f>
        <v>240</v>
      </c>
      <c r="E92" s="7">
        <f>+C92*D92</f>
        <v>40800</v>
      </c>
    </row>
    <row r="93" spans="1:5" x14ac:dyDescent="0.3">
      <c r="A93" t="s">
        <v>84</v>
      </c>
      <c r="B93" t="s">
        <v>35</v>
      </c>
      <c r="C93" s="1">
        <f>1%*C7</f>
        <v>85</v>
      </c>
      <c r="D93" s="1">
        <f>+C10</f>
        <v>240</v>
      </c>
      <c r="E93" s="7">
        <f t="shared" ref="E93:E95" si="6">+C93*D93</f>
        <v>20400</v>
      </c>
    </row>
    <row r="94" spans="1:5" x14ac:dyDescent="0.3">
      <c r="A94" t="s">
        <v>82</v>
      </c>
      <c r="B94" t="s">
        <v>35</v>
      </c>
      <c r="C94" s="1">
        <v>750</v>
      </c>
      <c r="D94" s="1">
        <f>+C10</f>
        <v>240</v>
      </c>
      <c r="E94" s="7">
        <f t="shared" si="6"/>
        <v>180000</v>
      </c>
    </row>
    <row r="95" spans="1:5" x14ac:dyDescent="0.3">
      <c r="A95" t="s">
        <v>83</v>
      </c>
      <c r="B95" t="s">
        <v>35</v>
      </c>
      <c r="C95" s="1">
        <v>1500</v>
      </c>
      <c r="D95" s="1">
        <f>+C10</f>
        <v>240</v>
      </c>
      <c r="E95" s="7">
        <f t="shared" si="6"/>
        <v>360000</v>
      </c>
    </row>
    <row r="96" spans="1:5" x14ac:dyDescent="0.3">
      <c r="C96" s="1"/>
      <c r="D96" s="1"/>
    </row>
    <row r="97" spans="1:7" x14ac:dyDescent="0.3">
      <c r="A97" s="16" t="s">
        <v>122</v>
      </c>
      <c r="B97" s="14"/>
      <c r="C97" s="14"/>
      <c r="D97" s="14"/>
      <c r="E97" s="18">
        <f>SUM(E92:E96)</f>
        <v>601200</v>
      </c>
    </row>
    <row r="98" spans="1:7" x14ac:dyDescent="0.3">
      <c r="E98" s="8"/>
    </row>
    <row r="99" spans="1:7" x14ac:dyDescent="0.3">
      <c r="A99" s="14" t="s">
        <v>74</v>
      </c>
      <c r="B99" s="14"/>
      <c r="C99" s="14"/>
      <c r="D99" s="14"/>
      <c r="E99" s="20">
        <f>+E97+E89</f>
        <v>1776254.25</v>
      </c>
    </row>
    <row r="100" spans="1:7" x14ac:dyDescent="0.3">
      <c r="A100" t="s">
        <v>75</v>
      </c>
      <c r="E100" s="6">
        <f>50*C9</f>
        <v>55000</v>
      </c>
    </row>
    <row r="101" spans="1:7" x14ac:dyDescent="0.3">
      <c r="A101" t="s">
        <v>76</v>
      </c>
      <c r="E101" s="7">
        <f>40*C9</f>
        <v>44000</v>
      </c>
    </row>
    <row r="103" spans="1:7" x14ac:dyDescent="0.3">
      <c r="A103" s="16" t="s">
        <v>116</v>
      </c>
      <c r="B103" s="14"/>
      <c r="C103" s="14"/>
      <c r="D103" s="14"/>
      <c r="E103" s="18">
        <f>+E99+E100+E101</f>
        <v>1875254.25</v>
      </c>
      <c r="G103">
        <f>+E103/C9</f>
        <v>1704.7765909090908</v>
      </c>
    </row>
    <row r="105" spans="1:7" x14ac:dyDescent="0.3">
      <c r="A105" s="37" t="s">
        <v>105</v>
      </c>
      <c r="B105" s="37"/>
      <c r="C105" s="37"/>
      <c r="D105" s="37"/>
      <c r="E105" s="37"/>
    </row>
    <row r="106" spans="1:7" x14ac:dyDescent="0.3">
      <c r="A106" s="24"/>
      <c r="B106" s="24"/>
      <c r="C106" s="24"/>
      <c r="D106" s="38" t="s">
        <v>78</v>
      </c>
      <c r="E106" s="38"/>
    </row>
    <row r="107" spans="1:7" x14ac:dyDescent="0.3">
      <c r="A107" s="24" t="s">
        <v>77</v>
      </c>
      <c r="B107" s="24"/>
      <c r="C107" s="24"/>
      <c r="D107" s="25">
        <f>+C16-E99</f>
        <v>23918.25</v>
      </c>
      <c r="E107" s="26">
        <f>+D107/$C$9</f>
        <v>21.743863636363635</v>
      </c>
    </row>
    <row r="108" spans="1:7" x14ac:dyDescent="0.3">
      <c r="A108" s="24" t="s">
        <v>79</v>
      </c>
      <c r="B108" s="24"/>
      <c r="C108" s="24"/>
      <c r="D108" s="25">
        <f>+D107-E100-E101</f>
        <v>-75081.75</v>
      </c>
      <c r="E108" s="26">
        <f>+D108/$C$9</f>
        <v>-68.256136363636358</v>
      </c>
    </row>
    <row r="109" spans="1:7" x14ac:dyDescent="0.3">
      <c r="A109" s="24" t="s">
        <v>80</v>
      </c>
      <c r="B109" s="24"/>
      <c r="C109" s="24"/>
      <c r="D109" s="31">
        <f>+D108/E99</f>
        <v>-4.2269708855024554E-2</v>
      </c>
      <c r="E109" s="31"/>
    </row>
    <row r="110" spans="1:7" x14ac:dyDescent="0.3">
      <c r="A110" s="24" t="s">
        <v>81</v>
      </c>
      <c r="B110" s="24"/>
      <c r="C110" s="24" t="s">
        <v>5</v>
      </c>
      <c r="D110" s="32">
        <f>+E103/C17</f>
        <v>8854.5187336213621</v>
      </c>
      <c r="E110" s="32"/>
    </row>
    <row r="112" spans="1:7" x14ac:dyDescent="0.3">
      <c r="A112" t="s">
        <v>113</v>
      </c>
    </row>
    <row r="113" spans="1:1" x14ac:dyDescent="0.3">
      <c r="A113" t="s">
        <v>115</v>
      </c>
    </row>
    <row r="114" spans="1:1" x14ac:dyDescent="0.3">
      <c r="A114" t="s">
        <v>106</v>
      </c>
    </row>
  </sheetData>
  <mergeCells count="9">
    <mergeCell ref="A1:E1"/>
    <mergeCell ref="D109:E109"/>
    <mergeCell ref="D110:E110"/>
    <mergeCell ref="A2:E2"/>
    <mergeCell ref="A3:E3"/>
    <mergeCell ref="A4:C4"/>
    <mergeCell ref="A19:C19"/>
    <mergeCell ref="A105:E105"/>
    <mergeCell ref="D106:E10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2"/>
  <sheetViews>
    <sheetView topLeftCell="A91" workbookViewId="0">
      <selection activeCell="A95" sqref="A95"/>
    </sheetView>
  </sheetViews>
  <sheetFormatPr baseColWidth="10" defaultColWidth="9.109375" defaultRowHeight="14.4" x14ac:dyDescent="0.3"/>
  <cols>
    <col min="1" max="1" width="49.88671875" bestFit="1" customWidth="1"/>
    <col min="2" max="2" width="10.88671875" bestFit="1" customWidth="1"/>
    <col min="3" max="3" width="12.88671875" bestFit="1" customWidth="1"/>
    <col min="4" max="4" width="13.6640625" bestFit="1" customWidth="1"/>
    <col min="5" max="5" width="14.5546875" customWidth="1"/>
  </cols>
  <sheetData>
    <row r="1" spans="1:5" ht="61.8" customHeight="1" x14ac:dyDescent="0.3">
      <c r="A1" s="30"/>
      <c r="B1" s="30"/>
      <c r="C1" s="30"/>
      <c r="D1" s="30"/>
      <c r="E1" s="30"/>
    </row>
    <row r="2" spans="1:5" x14ac:dyDescent="0.3">
      <c r="A2" s="42" t="s">
        <v>117</v>
      </c>
      <c r="B2" s="42"/>
      <c r="C2" s="42"/>
      <c r="D2" s="42"/>
      <c r="E2" s="42"/>
    </row>
    <row r="3" spans="1:5" ht="18" x14ac:dyDescent="0.35">
      <c r="A3" s="40" t="s">
        <v>118</v>
      </c>
      <c r="B3" s="41"/>
      <c r="C3" s="41"/>
      <c r="D3" s="41"/>
      <c r="E3" s="41"/>
    </row>
    <row r="4" spans="1:5" x14ac:dyDescent="0.3">
      <c r="A4" s="36" t="s">
        <v>16</v>
      </c>
      <c r="B4" s="36"/>
      <c r="C4" s="36"/>
    </row>
    <row r="6" spans="1:5" x14ac:dyDescent="0.3">
      <c r="A6" s="21" t="s">
        <v>1</v>
      </c>
      <c r="B6" s="22" t="s">
        <v>2</v>
      </c>
      <c r="C6" s="22" t="s">
        <v>3</v>
      </c>
    </row>
    <row r="7" spans="1:5" x14ac:dyDescent="0.3">
      <c r="A7" t="s">
        <v>0</v>
      </c>
      <c r="B7" s="1" t="s">
        <v>5</v>
      </c>
      <c r="C7" s="2">
        <v>8500</v>
      </c>
    </row>
    <row r="8" spans="1:5" x14ac:dyDescent="0.3">
      <c r="A8" t="s">
        <v>96</v>
      </c>
      <c r="B8" s="1" t="s">
        <v>6</v>
      </c>
      <c r="C8" s="3">
        <v>0.22</v>
      </c>
    </row>
    <row r="9" spans="1:5" x14ac:dyDescent="0.3">
      <c r="A9" t="s">
        <v>4</v>
      </c>
      <c r="B9" s="1" t="s">
        <v>7</v>
      </c>
      <c r="C9" s="2">
        <v>1100</v>
      </c>
    </row>
    <row r="10" spans="1:5" x14ac:dyDescent="0.3">
      <c r="A10" t="s">
        <v>108</v>
      </c>
      <c r="B10" s="1" t="s">
        <v>8</v>
      </c>
      <c r="C10" s="2">
        <v>240</v>
      </c>
    </row>
    <row r="11" spans="1:5" x14ac:dyDescent="0.3">
      <c r="A11" s="11" t="s">
        <v>13</v>
      </c>
      <c r="B11" s="12" t="s">
        <v>9</v>
      </c>
      <c r="C11" s="13">
        <f>+C7*C10</f>
        <v>2040000</v>
      </c>
    </row>
    <row r="12" spans="1:5" x14ac:dyDescent="0.3">
      <c r="A12" t="s">
        <v>98</v>
      </c>
      <c r="B12" s="1" t="s">
        <v>10</v>
      </c>
      <c r="C12" s="4">
        <v>7.0000000000000007E-2</v>
      </c>
    </row>
    <row r="13" spans="1:5" x14ac:dyDescent="0.3">
      <c r="A13" t="s">
        <v>98</v>
      </c>
      <c r="B13" s="1" t="s">
        <v>9</v>
      </c>
      <c r="C13" s="2">
        <f>+(C7+(C7*10%))*C12*C10</f>
        <v>157080.00000000003</v>
      </c>
    </row>
    <row r="14" spans="1:5" x14ac:dyDescent="0.3">
      <c r="A14" t="s">
        <v>89</v>
      </c>
      <c r="B14" s="1" t="s">
        <v>12</v>
      </c>
      <c r="C14" s="2">
        <v>8850</v>
      </c>
    </row>
    <row r="15" spans="1:5" x14ac:dyDescent="0.3">
      <c r="A15" t="s">
        <v>11</v>
      </c>
      <c r="B15" s="1" t="s">
        <v>9</v>
      </c>
      <c r="C15" s="2">
        <f>+C14*(((C7+(C7*10%))/1000))</f>
        <v>82747.5</v>
      </c>
    </row>
    <row r="16" spans="1:5" x14ac:dyDescent="0.3">
      <c r="A16" s="11" t="s">
        <v>14</v>
      </c>
      <c r="B16" s="12" t="s">
        <v>15</v>
      </c>
      <c r="C16" s="13">
        <f>+C11-C13-C15</f>
        <v>1800172.5</v>
      </c>
    </row>
    <row r="17" spans="1:5" x14ac:dyDescent="0.3">
      <c r="A17" t="s">
        <v>99</v>
      </c>
      <c r="B17" s="1" t="s">
        <v>8</v>
      </c>
      <c r="C17" s="5">
        <f>+C16/C7</f>
        <v>211.785</v>
      </c>
    </row>
    <row r="19" spans="1:5" x14ac:dyDescent="0.3">
      <c r="A19" s="36" t="s">
        <v>17</v>
      </c>
      <c r="B19" s="36"/>
      <c r="C19" s="36"/>
    </row>
    <row r="20" spans="1:5" x14ac:dyDescent="0.3">
      <c r="A20" t="s">
        <v>1</v>
      </c>
      <c r="B20" s="1" t="s">
        <v>2</v>
      </c>
      <c r="C20" s="1" t="s">
        <v>3</v>
      </c>
    </row>
    <row r="21" spans="1:5" x14ac:dyDescent="0.3">
      <c r="A21" s="21" t="s">
        <v>18</v>
      </c>
      <c r="B21" s="22" t="s">
        <v>9</v>
      </c>
      <c r="C21" s="21">
        <f>1130*45</f>
        <v>50850</v>
      </c>
    </row>
    <row r="22" spans="1:5" x14ac:dyDescent="0.3">
      <c r="A22" s="16" t="s">
        <v>19</v>
      </c>
      <c r="B22" s="17" t="s">
        <v>21</v>
      </c>
      <c r="C22" s="16" t="s">
        <v>22</v>
      </c>
      <c r="D22" s="17" t="s">
        <v>24</v>
      </c>
      <c r="E22" s="16" t="s">
        <v>23</v>
      </c>
    </row>
    <row r="23" spans="1:5" x14ac:dyDescent="0.3">
      <c r="A23" t="s">
        <v>20</v>
      </c>
      <c r="B23" s="1">
        <v>2</v>
      </c>
      <c r="C23" s="1">
        <v>1</v>
      </c>
      <c r="D23" s="1">
        <f>+$C$21</f>
        <v>50850</v>
      </c>
      <c r="E23" s="6">
        <f>+B23*C23*D23</f>
        <v>101700</v>
      </c>
    </row>
    <row r="24" spans="1:5" x14ac:dyDescent="0.3">
      <c r="A24" t="s">
        <v>100</v>
      </c>
      <c r="B24" s="1">
        <v>2</v>
      </c>
      <c r="C24" s="1">
        <v>0.6</v>
      </c>
      <c r="D24" s="1">
        <f t="shared" ref="D24:D33" si="0">+$C$21</f>
        <v>50850</v>
      </c>
      <c r="E24" s="6">
        <f>+B24*C24*D24</f>
        <v>61020</v>
      </c>
    </row>
    <row r="25" spans="1:5" x14ac:dyDescent="0.3">
      <c r="A25" t="s">
        <v>101</v>
      </c>
      <c r="B25" s="1">
        <v>1</v>
      </c>
      <c r="C25" s="1">
        <v>0.25</v>
      </c>
      <c r="D25" s="1">
        <f t="shared" si="0"/>
        <v>50850</v>
      </c>
      <c r="E25" s="6">
        <f>+B25*C25*D25</f>
        <v>12712.5</v>
      </c>
    </row>
    <row r="26" spans="1:5" x14ac:dyDescent="0.3">
      <c r="A26" t="s">
        <v>28</v>
      </c>
      <c r="B26" s="1">
        <v>2</v>
      </c>
      <c r="C26" s="1">
        <v>0.3</v>
      </c>
      <c r="D26" s="1">
        <f t="shared" si="0"/>
        <v>50850</v>
      </c>
      <c r="E26" s="6">
        <f t="shared" ref="E26:E33" si="1">+B26*C26*D26</f>
        <v>30510</v>
      </c>
    </row>
    <row r="27" spans="1:5" x14ac:dyDescent="0.3">
      <c r="A27" t="s">
        <v>25</v>
      </c>
      <c r="B27" s="1">
        <v>1</v>
      </c>
      <c r="C27" s="1">
        <v>1</v>
      </c>
      <c r="D27" s="1">
        <f t="shared" si="0"/>
        <v>50850</v>
      </c>
      <c r="E27" s="6">
        <f t="shared" si="1"/>
        <v>50850</v>
      </c>
    </row>
    <row r="28" spans="1:5" x14ac:dyDescent="0.3">
      <c r="A28" t="s">
        <v>109</v>
      </c>
      <c r="B28" s="1">
        <v>1</v>
      </c>
      <c r="C28" s="1">
        <v>1</v>
      </c>
      <c r="D28" s="1">
        <f t="shared" si="0"/>
        <v>50850</v>
      </c>
      <c r="E28" s="6">
        <f t="shared" si="1"/>
        <v>50850</v>
      </c>
    </row>
    <row r="29" spans="1:5" x14ac:dyDescent="0.3">
      <c r="A29" t="s">
        <v>102</v>
      </c>
      <c r="B29" s="1">
        <v>2</v>
      </c>
      <c r="C29" s="1">
        <v>0.3</v>
      </c>
      <c r="D29" s="1">
        <f t="shared" si="0"/>
        <v>50850</v>
      </c>
      <c r="E29" s="6">
        <f t="shared" si="1"/>
        <v>30510</v>
      </c>
    </row>
    <row r="30" spans="1:5" x14ac:dyDescent="0.3">
      <c r="A30" t="s">
        <v>103</v>
      </c>
      <c r="B30" s="1">
        <v>1</v>
      </c>
      <c r="C30" s="1">
        <v>0.3</v>
      </c>
      <c r="D30" s="1">
        <f t="shared" si="0"/>
        <v>50850</v>
      </c>
      <c r="E30" s="6">
        <f t="shared" si="1"/>
        <v>15255</v>
      </c>
    </row>
    <row r="31" spans="1:5" x14ac:dyDescent="0.3">
      <c r="A31" t="s">
        <v>29</v>
      </c>
      <c r="B31" s="1">
        <v>1</v>
      </c>
      <c r="C31" s="1">
        <v>0.6</v>
      </c>
      <c r="D31" s="1">
        <f t="shared" si="0"/>
        <v>50850</v>
      </c>
      <c r="E31" s="6">
        <f t="shared" si="1"/>
        <v>30510</v>
      </c>
    </row>
    <row r="32" spans="1:5" x14ac:dyDescent="0.3">
      <c r="A32" t="s">
        <v>26</v>
      </c>
      <c r="B32" s="1">
        <v>1</v>
      </c>
      <c r="C32" s="1">
        <v>0.25</v>
      </c>
      <c r="D32" s="1">
        <f t="shared" si="0"/>
        <v>50850</v>
      </c>
      <c r="E32" s="6">
        <f t="shared" si="1"/>
        <v>12712.5</v>
      </c>
    </row>
    <row r="33" spans="1:5" x14ac:dyDescent="0.3">
      <c r="A33" t="s">
        <v>27</v>
      </c>
      <c r="B33" s="1">
        <v>2</v>
      </c>
      <c r="C33" s="1">
        <v>0.3</v>
      </c>
      <c r="D33" s="1">
        <f t="shared" si="0"/>
        <v>50850</v>
      </c>
      <c r="E33" s="6">
        <f t="shared" si="1"/>
        <v>30510</v>
      </c>
    </row>
    <row r="35" spans="1:5" x14ac:dyDescent="0.3">
      <c r="A35" s="16" t="s">
        <v>30</v>
      </c>
      <c r="B35" s="14"/>
      <c r="C35" s="14"/>
      <c r="D35" s="14"/>
      <c r="E35" s="23">
        <f>SUM(E23:E34)</f>
        <v>427140</v>
      </c>
    </row>
    <row r="37" spans="1:5" x14ac:dyDescent="0.3">
      <c r="A37" s="16" t="s">
        <v>31</v>
      </c>
      <c r="B37" s="17" t="s">
        <v>2</v>
      </c>
      <c r="C37" s="17" t="s">
        <v>32</v>
      </c>
      <c r="D37" s="17" t="s">
        <v>33</v>
      </c>
      <c r="E37" s="17" t="s">
        <v>34</v>
      </c>
    </row>
    <row r="38" spans="1:5" x14ac:dyDescent="0.3">
      <c r="A38" t="s">
        <v>85</v>
      </c>
      <c r="B38" t="s">
        <v>35</v>
      </c>
      <c r="C38" s="1">
        <v>130</v>
      </c>
      <c r="D38" s="1">
        <f>+C10*2</f>
        <v>480</v>
      </c>
      <c r="E38" s="7">
        <f>+C38*D38</f>
        <v>62400</v>
      </c>
    </row>
    <row r="39" spans="1:5" x14ac:dyDescent="0.3">
      <c r="A39" s="16" t="s">
        <v>36</v>
      </c>
      <c r="B39" s="14"/>
      <c r="C39" s="14"/>
      <c r="D39" s="14"/>
      <c r="E39" s="14"/>
    </row>
    <row r="41" spans="1:5" x14ac:dyDescent="0.3">
      <c r="A41" t="s">
        <v>37</v>
      </c>
      <c r="B41" t="s">
        <v>39</v>
      </c>
      <c r="C41" s="1">
        <v>0.2</v>
      </c>
      <c r="D41" s="1">
        <v>7</v>
      </c>
      <c r="E41" s="7">
        <f>+C41*D41*$C$9</f>
        <v>1540.0000000000002</v>
      </c>
    </row>
    <row r="42" spans="1:5" x14ac:dyDescent="0.3">
      <c r="A42" t="s">
        <v>38</v>
      </c>
      <c r="B42" t="s">
        <v>39</v>
      </c>
      <c r="C42" s="1">
        <v>0.3</v>
      </c>
      <c r="D42" s="1">
        <v>15</v>
      </c>
      <c r="E42" s="7">
        <f>+C42*D42*$C$9</f>
        <v>4950</v>
      </c>
    </row>
    <row r="43" spans="1:5" x14ac:dyDescent="0.3">
      <c r="A43" s="16" t="s">
        <v>41</v>
      </c>
      <c r="B43" s="14"/>
      <c r="C43" s="14"/>
      <c r="D43" s="14"/>
      <c r="E43" s="15">
        <f>+E41+E42</f>
        <v>6490</v>
      </c>
    </row>
    <row r="45" spans="1:5" x14ac:dyDescent="0.3">
      <c r="A45" s="16" t="s">
        <v>40</v>
      </c>
      <c r="B45" s="17" t="s">
        <v>2</v>
      </c>
      <c r="C45" s="17" t="s">
        <v>32</v>
      </c>
      <c r="D45" s="17" t="s">
        <v>33</v>
      </c>
      <c r="E45" s="17" t="s">
        <v>34</v>
      </c>
    </row>
    <row r="46" spans="1:5" x14ac:dyDescent="0.3">
      <c r="A46" t="s">
        <v>42</v>
      </c>
      <c r="B46" t="s">
        <v>39</v>
      </c>
      <c r="E46" s="7">
        <f>+C46*D46*$C$9</f>
        <v>0</v>
      </c>
    </row>
    <row r="47" spans="1:5" x14ac:dyDescent="0.3">
      <c r="A47" t="s">
        <v>43</v>
      </c>
      <c r="B47" t="s">
        <v>39</v>
      </c>
      <c r="E47" s="7">
        <f t="shared" ref="E47:E57" si="2">+C47*D47*$C$9</f>
        <v>0</v>
      </c>
    </row>
    <row r="48" spans="1:5" x14ac:dyDescent="0.3">
      <c r="A48" t="s">
        <v>44</v>
      </c>
      <c r="B48" t="s">
        <v>39</v>
      </c>
      <c r="C48" s="1">
        <v>1.2</v>
      </c>
      <c r="D48" s="9">
        <v>30</v>
      </c>
      <c r="E48" s="7">
        <f t="shared" si="2"/>
        <v>39600</v>
      </c>
    </row>
    <row r="49" spans="1:5" x14ac:dyDescent="0.3">
      <c r="A49" t="s">
        <v>45</v>
      </c>
      <c r="B49" t="s">
        <v>39</v>
      </c>
      <c r="C49" s="1">
        <v>5</v>
      </c>
      <c r="D49" s="1">
        <v>6</v>
      </c>
      <c r="E49" s="7">
        <f t="shared" si="2"/>
        <v>33000</v>
      </c>
    </row>
    <row r="50" spans="1:5" x14ac:dyDescent="0.3">
      <c r="A50" t="s">
        <v>46</v>
      </c>
      <c r="B50" t="s">
        <v>35</v>
      </c>
      <c r="C50" s="1"/>
      <c r="E50" s="7">
        <f t="shared" si="2"/>
        <v>0</v>
      </c>
    </row>
    <row r="51" spans="1:5" x14ac:dyDescent="0.3">
      <c r="A51" t="s">
        <v>47</v>
      </c>
      <c r="B51" t="s">
        <v>39</v>
      </c>
      <c r="C51" s="1">
        <v>0.7</v>
      </c>
      <c r="D51" s="1">
        <v>16</v>
      </c>
      <c r="E51" s="7">
        <f t="shared" si="2"/>
        <v>12320</v>
      </c>
    </row>
    <row r="52" spans="1:5" x14ac:dyDescent="0.3">
      <c r="A52" t="s">
        <v>48</v>
      </c>
      <c r="B52" t="s">
        <v>39</v>
      </c>
      <c r="C52" s="1">
        <v>0.5</v>
      </c>
      <c r="D52" s="1">
        <v>15</v>
      </c>
      <c r="E52" s="7">
        <f t="shared" si="2"/>
        <v>8250</v>
      </c>
    </row>
    <row r="53" spans="1:5" x14ac:dyDescent="0.3">
      <c r="A53" t="s">
        <v>49</v>
      </c>
      <c r="B53" t="s">
        <v>39</v>
      </c>
      <c r="C53" s="1">
        <v>2.8</v>
      </c>
      <c r="D53" s="1">
        <v>15</v>
      </c>
      <c r="E53" s="7">
        <f>+C53*D53*$C$9*0.4</f>
        <v>18480</v>
      </c>
    </row>
    <row r="54" spans="1:5" x14ac:dyDescent="0.3">
      <c r="A54" t="s">
        <v>50</v>
      </c>
      <c r="B54" t="s">
        <v>39</v>
      </c>
      <c r="C54" s="1">
        <v>0.65</v>
      </c>
      <c r="D54" s="1">
        <v>47</v>
      </c>
      <c r="E54" s="7">
        <f t="shared" si="2"/>
        <v>33605</v>
      </c>
    </row>
    <row r="55" spans="1:5" x14ac:dyDescent="0.3">
      <c r="A55" t="s">
        <v>51</v>
      </c>
      <c r="B55" t="s">
        <v>39</v>
      </c>
      <c r="C55" s="1">
        <v>1.5</v>
      </c>
      <c r="D55" s="1">
        <v>23</v>
      </c>
      <c r="E55" s="7">
        <f t="shared" si="2"/>
        <v>37950</v>
      </c>
    </row>
    <row r="56" spans="1:5" x14ac:dyDescent="0.3">
      <c r="A56" t="s">
        <v>52</v>
      </c>
      <c r="B56" t="s">
        <v>39</v>
      </c>
      <c r="C56" s="1">
        <v>0.6</v>
      </c>
      <c r="D56" s="1">
        <v>20</v>
      </c>
      <c r="E56" s="7">
        <f t="shared" si="2"/>
        <v>13200</v>
      </c>
    </row>
    <row r="57" spans="1:5" x14ac:dyDescent="0.3">
      <c r="A57" t="s">
        <v>53</v>
      </c>
      <c r="B57" t="s">
        <v>39</v>
      </c>
      <c r="C57" s="1">
        <v>0.15</v>
      </c>
      <c r="D57" s="1">
        <v>10</v>
      </c>
      <c r="E57" s="7">
        <f t="shared" si="2"/>
        <v>1650</v>
      </c>
    </row>
    <row r="59" spans="1:5" x14ac:dyDescent="0.3">
      <c r="A59" s="16" t="s">
        <v>54</v>
      </c>
      <c r="B59" s="14"/>
      <c r="C59" s="14"/>
      <c r="D59" s="14"/>
      <c r="E59" s="18">
        <f>SUM(E46:E58)</f>
        <v>198055</v>
      </c>
    </row>
    <row r="62" spans="1:5" x14ac:dyDescent="0.3">
      <c r="A62" s="16" t="s">
        <v>55</v>
      </c>
      <c r="B62" s="17" t="s">
        <v>2</v>
      </c>
      <c r="C62" s="17" t="s">
        <v>32</v>
      </c>
      <c r="D62" s="17" t="s">
        <v>33</v>
      </c>
      <c r="E62" s="17" t="s">
        <v>34</v>
      </c>
    </row>
    <row r="63" spans="1:5" x14ac:dyDescent="0.3">
      <c r="A63" t="s">
        <v>56</v>
      </c>
      <c r="B63" t="s">
        <v>35</v>
      </c>
      <c r="C63" s="1"/>
      <c r="E63" s="7">
        <f t="shared" ref="E63:E64" si="3">+C63*D63*$C$9</f>
        <v>0</v>
      </c>
    </row>
    <row r="64" spans="1:5" x14ac:dyDescent="0.3">
      <c r="A64" t="s">
        <v>111</v>
      </c>
      <c r="B64" t="s">
        <v>35</v>
      </c>
      <c r="C64" s="1"/>
      <c r="E64" s="7">
        <f t="shared" si="3"/>
        <v>0</v>
      </c>
    </row>
    <row r="65" spans="1:5" x14ac:dyDescent="0.3">
      <c r="A65" t="s">
        <v>57</v>
      </c>
      <c r="B65" t="s">
        <v>35</v>
      </c>
      <c r="C65" s="1">
        <v>100</v>
      </c>
      <c r="D65" s="1">
        <v>0.7</v>
      </c>
      <c r="E65" s="7">
        <f>+C65*D65*$C$9</f>
        <v>77000</v>
      </c>
    </row>
    <row r="66" spans="1:5" x14ac:dyDescent="0.3">
      <c r="A66" t="s">
        <v>58</v>
      </c>
      <c r="B66" t="s">
        <v>35</v>
      </c>
      <c r="C66" s="1"/>
      <c r="D66" s="1"/>
      <c r="E66" s="7">
        <f t="shared" ref="E66:E68" si="4">+C66*D66*$C$9</f>
        <v>0</v>
      </c>
    </row>
    <row r="67" spans="1:5" x14ac:dyDescent="0.3">
      <c r="A67" t="s">
        <v>59</v>
      </c>
      <c r="B67" t="s">
        <v>35</v>
      </c>
      <c r="C67" s="1"/>
      <c r="D67" s="1"/>
      <c r="E67" s="7">
        <f t="shared" si="4"/>
        <v>0</v>
      </c>
    </row>
    <row r="68" spans="1:5" x14ac:dyDescent="0.3">
      <c r="A68" t="s">
        <v>60</v>
      </c>
      <c r="B68" t="s">
        <v>39</v>
      </c>
      <c r="C68" s="1">
        <v>0.7</v>
      </c>
      <c r="D68" s="1">
        <v>20</v>
      </c>
      <c r="E68" s="7">
        <f t="shared" si="4"/>
        <v>15400</v>
      </c>
    </row>
    <row r="69" spans="1:5" x14ac:dyDescent="0.3">
      <c r="A69" t="s">
        <v>61</v>
      </c>
      <c r="B69" t="s">
        <v>35</v>
      </c>
      <c r="C69" s="1">
        <v>200</v>
      </c>
      <c r="D69" s="1">
        <v>0.57999999999999996</v>
      </c>
      <c r="E69" s="7">
        <f>+C69*D69*$C$9</f>
        <v>127599.99999999999</v>
      </c>
    </row>
    <row r="71" spans="1:5" x14ac:dyDescent="0.3">
      <c r="A71" s="16" t="s">
        <v>121</v>
      </c>
      <c r="B71" s="14"/>
      <c r="C71" s="14"/>
      <c r="D71" s="14"/>
      <c r="E71" s="18">
        <f>SUM(E63:E70)</f>
        <v>220000</v>
      </c>
    </row>
    <row r="73" spans="1:5" x14ac:dyDescent="0.3">
      <c r="A73" s="16" t="s">
        <v>62</v>
      </c>
      <c r="B73" s="17" t="s">
        <v>2</v>
      </c>
      <c r="C73" s="17" t="s">
        <v>32</v>
      </c>
      <c r="D73" s="17" t="s">
        <v>33</v>
      </c>
      <c r="E73" s="17" t="s">
        <v>34</v>
      </c>
    </row>
    <row r="74" spans="1:5" x14ac:dyDescent="0.3">
      <c r="A74" t="s">
        <v>63</v>
      </c>
      <c r="B74" t="s">
        <v>39</v>
      </c>
      <c r="C74" s="1">
        <v>1</v>
      </c>
      <c r="D74" s="1">
        <v>20</v>
      </c>
      <c r="E74" s="7">
        <f>+C74*D74*$C$9</f>
        <v>22000</v>
      </c>
    </row>
    <row r="75" spans="1:5" x14ac:dyDescent="0.3">
      <c r="A75" t="s">
        <v>64</v>
      </c>
      <c r="B75" t="s">
        <v>39</v>
      </c>
      <c r="E75" s="7">
        <f t="shared" ref="E75:E76" si="5">+C75*D75*$C$9</f>
        <v>0</v>
      </c>
    </row>
    <row r="76" spans="1:5" x14ac:dyDescent="0.3">
      <c r="A76" t="s">
        <v>65</v>
      </c>
      <c r="B76" t="s">
        <v>39</v>
      </c>
      <c r="E76" s="7">
        <f t="shared" si="5"/>
        <v>0</v>
      </c>
    </row>
    <row r="78" spans="1:5" x14ac:dyDescent="0.3">
      <c r="A78" s="16" t="s">
        <v>87</v>
      </c>
      <c r="B78" s="14"/>
      <c r="C78" s="14"/>
      <c r="D78" s="14"/>
      <c r="E78" s="19">
        <f>SUM(E74:E77)</f>
        <v>22000</v>
      </c>
    </row>
    <row r="80" spans="1:5" x14ac:dyDescent="0.3">
      <c r="A80" s="16" t="s">
        <v>66</v>
      </c>
      <c r="B80" s="17" t="s">
        <v>2</v>
      </c>
      <c r="C80" s="17" t="s">
        <v>32</v>
      </c>
      <c r="D80" s="17" t="s">
        <v>33</v>
      </c>
      <c r="E80" s="17" t="s">
        <v>34</v>
      </c>
    </row>
    <row r="81" spans="1:5" x14ac:dyDescent="0.3">
      <c r="A81" t="s">
        <v>90</v>
      </c>
      <c r="B81" t="s">
        <v>91</v>
      </c>
      <c r="C81" s="1">
        <v>1500</v>
      </c>
      <c r="D81" s="1">
        <v>244</v>
      </c>
      <c r="E81" s="7">
        <f>+C81*D81</f>
        <v>366000</v>
      </c>
    </row>
    <row r="82" spans="1:5" x14ac:dyDescent="0.3">
      <c r="A82" t="s">
        <v>119</v>
      </c>
      <c r="B82" t="s">
        <v>86</v>
      </c>
      <c r="E82" s="7">
        <f>1031262*5*1/80</f>
        <v>64453.875</v>
      </c>
    </row>
    <row r="83" spans="1:5" x14ac:dyDescent="0.3">
      <c r="A83" t="s">
        <v>70</v>
      </c>
      <c r="E83" s="7"/>
    </row>
    <row r="84" spans="1:5" x14ac:dyDescent="0.3">
      <c r="A84" t="s">
        <v>120</v>
      </c>
      <c r="B84" t="s">
        <v>88</v>
      </c>
      <c r="E84" s="7">
        <f>10*C9</f>
        <v>11000</v>
      </c>
    </row>
    <row r="85" spans="1:5" x14ac:dyDescent="0.3">
      <c r="A85" t="s">
        <v>112</v>
      </c>
      <c r="D85" s="10"/>
      <c r="E85" s="7">
        <v>38000</v>
      </c>
    </row>
    <row r="87" spans="1:5" x14ac:dyDescent="0.3">
      <c r="A87" s="16" t="s">
        <v>72</v>
      </c>
      <c r="B87" s="14"/>
      <c r="C87" s="14"/>
      <c r="D87" s="14"/>
      <c r="E87" s="18">
        <f>+E35+E38+E43+E59+E71+E78+E81+E82+E83+E84+E85+E86</f>
        <v>1415538.875</v>
      </c>
    </row>
    <row r="89" spans="1:5" x14ac:dyDescent="0.3">
      <c r="A89" s="16" t="s">
        <v>73</v>
      </c>
      <c r="B89" s="17" t="s">
        <v>2</v>
      </c>
      <c r="C89" s="17" t="s">
        <v>32</v>
      </c>
      <c r="D89" s="17" t="s">
        <v>33</v>
      </c>
      <c r="E89" s="17" t="s">
        <v>34</v>
      </c>
    </row>
    <row r="90" spans="1:5" x14ac:dyDescent="0.3">
      <c r="A90" t="s">
        <v>92</v>
      </c>
      <c r="B90" t="s">
        <v>35</v>
      </c>
      <c r="C90" s="1">
        <f>2.5%*C7</f>
        <v>212.5</v>
      </c>
      <c r="D90" s="1">
        <f>+C10</f>
        <v>240</v>
      </c>
      <c r="E90" s="7">
        <f>+C90*D90</f>
        <v>51000</v>
      </c>
    </row>
    <row r="91" spans="1:5" x14ac:dyDescent="0.3">
      <c r="A91" t="s">
        <v>84</v>
      </c>
      <c r="B91" t="s">
        <v>35</v>
      </c>
      <c r="C91" s="1">
        <f>1%*C7</f>
        <v>85</v>
      </c>
      <c r="D91" s="1">
        <f>+C10</f>
        <v>240</v>
      </c>
      <c r="E91" s="7">
        <f t="shared" ref="E91:E93" si="6">+C91*D91</f>
        <v>20400</v>
      </c>
    </row>
    <row r="92" spans="1:5" x14ac:dyDescent="0.3">
      <c r="A92" t="s">
        <v>82</v>
      </c>
      <c r="B92" t="s">
        <v>35</v>
      </c>
      <c r="C92" s="1">
        <v>750</v>
      </c>
      <c r="D92" s="1">
        <f>+C10</f>
        <v>240</v>
      </c>
      <c r="E92" s="7">
        <f t="shared" si="6"/>
        <v>180000</v>
      </c>
    </row>
    <row r="93" spans="1:5" x14ac:dyDescent="0.3">
      <c r="A93" t="s">
        <v>83</v>
      </c>
      <c r="B93" t="s">
        <v>35</v>
      </c>
      <c r="C93" s="1">
        <v>1000</v>
      </c>
      <c r="D93" s="1">
        <f>+C10</f>
        <v>240</v>
      </c>
      <c r="E93" s="7">
        <f t="shared" si="6"/>
        <v>240000</v>
      </c>
    </row>
    <row r="94" spans="1:5" x14ac:dyDescent="0.3">
      <c r="C94" s="1"/>
      <c r="D94" s="1"/>
    </row>
    <row r="95" spans="1:5" x14ac:dyDescent="0.3">
      <c r="A95" s="16" t="s">
        <v>122</v>
      </c>
      <c r="B95" s="14"/>
      <c r="C95" s="14"/>
      <c r="D95" s="14"/>
      <c r="E95" s="18">
        <f>SUM(E90:E94)</f>
        <v>491400</v>
      </c>
    </row>
    <row r="96" spans="1:5" x14ac:dyDescent="0.3">
      <c r="E96" s="8"/>
    </row>
    <row r="97" spans="1:7" x14ac:dyDescent="0.3">
      <c r="A97" s="14" t="s">
        <v>74</v>
      </c>
      <c r="B97" s="14"/>
      <c r="C97" s="14"/>
      <c r="D97" s="14"/>
      <c r="E97" s="20">
        <f>+E95+E87</f>
        <v>1906938.875</v>
      </c>
    </row>
    <row r="98" spans="1:7" x14ac:dyDescent="0.3">
      <c r="A98" t="s">
        <v>75</v>
      </c>
      <c r="E98" s="6">
        <f>50*C9</f>
        <v>55000</v>
      </c>
    </row>
    <row r="99" spans="1:7" x14ac:dyDescent="0.3">
      <c r="A99" t="s">
        <v>76</v>
      </c>
      <c r="E99" s="7">
        <f>30*C9</f>
        <v>33000</v>
      </c>
    </row>
    <row r="101" spans="1:7" x14ac:dyDescent="0.3">
      <c r="A101" s="16" t="s">
        <v>116</v>
      </c>
      <c r="B101" s="14"/>
      <c r="C101" s="14"/>
      <c r="D101" s="14"/>
      <c r="E101" s="18">
        <f>+E97+E98+E99</f>
        <v>1994938.875</v>
      </c>
      <c r="G101">
        <f>+E101/C9</f>
        <v>1813.5807954545455</v>
      </c>
    </row>
    <row r="103" spans="1:7" x14ac:dyDescent="0.3">
      <c r="A103" s="37" t="s">
        <v>105</v>
      </c>
      <c r="B103" s="37"/>
      <c r="C103" s="37"/>
      <c r="D103" s="37"/>
      <c r="E103" s="37"/>
    </row>
    <row r="104" spans="1:7" x14ac:dyDescent="0.3">
      <c r="A104" s="27"/>
      <c r="B104" s="27"/>
      <c r="C104" s="27"/>
      <c r="D104" s="38" t="s">
        <v>78</v>
      </c>
      <c r="E104" s="38"/>
    </row>
    <row r="105" spans="1:7" x14ac:dyDescent="0.3">
      <c r="A105" s="27" t="s">
        <v>77</v>
      </c>
      <c r="B105" s="27"/>
      <c r="C105" s="27"/>
      <c r="D105" s="25">
        <f>+C16-E97</f>
        <v>-106766.375</v>
      </c>
      <c r="E105" s="26">
        <f>+D105/$C$9</f>
        <v>-97.060340909090911</v>
      </c>
    </row>
    <row r="106" spans="1:7" x14ac:dyDescent="0.3">
      <c r="A106" s="27" t="s">
        <v>79</v>
      </c>
      <c r="B106" s="27"/>
      <c r="C106" s="27"/>
      <c r="D106" s="25">
        <f>+D105-E98-E99</f>
        <v>-194766.375</v>
      </c>
      <c r="E106" s="26">
        <f>+D106/$C$9</f>
        <v>-177.06034090909091</v>
      </c>
    </row>
    <row r="107" spans="1:7" x14ac:dyDescent="0.3">
      <c r="A107" s="27" t="s">
        <v>80</v>
      </c>
      <c r="B107" s="27"/>
      <c r="C107" s="27"/>
      <c r="D107" s="31">
        <f>+D106/E97</f>
        <v>-0.10213561512295459</v>
      </c>
      <c r="E107" s="31"/>
    </row>
    <row r="108" spans="1:7" x14ac:dyDescent="0.3">
      <c r="A108" s="27" t="s">
        <v>81</v>
      </c>
      <c r="B108" s="27"/>
      <c r="C108" s="27" t="s">
        <v>5</v>
      </c>
      <c r="D108" s="32">
        <f>+E101/C17</f>
        <v>9419.6419718110355</v>
      </c>
      <c r="E108" s="32"/>
    </row>
    <row r="110" spans="1:7" x14ac:dyDescent="0.3">
      <c r="A110" t="s">
        <v>113</v>
      </c>
    </row>
    <row r="111" spans="1:7" x14ac:dyDescent="0.3">
      <c r="A111" t="s">
        <v>115</v>
      </c>
    </row>
    <row r="112" spans="1:7" x14ac:dyDescent="0.3">
      <c r="A112" t="s">
        <v>106</v>
      </c>
    </row>
  </sheetData>
  <mergeCells count="9">
    <mergeCell ref="A1:E1"/>
    <mergeCell ref="A2:E2"/>
    <mergeCell ref="A3:E3"/>
    <mergeCell ref="D107:E107"/>
    <mergeCell ref="D108:E108"/>
    <mergeCell ref="A4:C4"/>
    <mergeCell ref="A19:C19"/>
    <mergeCell ref="A103:E103"/>
    <mergeCell ref="D104:E10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Pozo-Gas Oil-Arrendado</vt:lpstr>
      <vt:lpstr>Represa-Gas Oil-Arrendado</vt:lpstr>
      <vt:lpstr>Pozo-Eléctrico-Arrendado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2025-04-29T13:05:28Z</dcterms:modified>
</cp:coreProperties>
</file>