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7747F2E-58E7-4680-9F65-5581B6FD282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ozo-Gas Oil-Arrendado" sheetId="3" r:id="rId1"/>
    <sheet name="Represa-Gas Oil-Arrendado" sheetId="2" r:id="rId2"/>
    <sheet name="Pozo-Eléctrico-Arrendado" sheetId="1" r:id="rId3"/>
  </sheets>
  <calcPr calcId="181029"/>
</workbook>
</file>

<file path=xl/calcChain.xml><?xml version="1.0" encoding="utf-8"?>
<calcChain xmlns="http://schemas.openxmlformats.org/spreadsheetml/2006/main">
  <c r="E86" i="3" l="1"/>
  <c r="E83" i="2"/>
  <c r="E83" i="3"/>
  <c r="E83" i="1"/>
  <c r="C13" i="2"/>
  <c r="C11" i="3"/>
  <c r="C91" i="3"/>
  <c r="C13" i="3"/>
  <c r="E40" i="2"/>
  <c r="E41" i="2"/>
  <c r="E42" i="2"/>
  <c r="E44" i="2"/>
  <c r="E45" i="2"/>
  <c r="E46" i="2"/>
  <c r="E47" i="2"/>
  <c r="E48" i="2"/>
  <c r="E49" i="2"/>
  <c r="E50" i="2"/>
  <c r="E51" i="2"/>
  <c r="E52" i="2"/>
  <c r="E53" i="2"/>
  <c r="E54" i="2"/>
  <c r="E55" i="2"/>
  <c r="E57" i="2"/>
  <c r="E61" i="2"/>
  <c r="E62" i="2"/>
  <c r="E63" i="2"/>
  <c r="E64" i="2"/>
  <c r="E65" i="2"/>
  <c r="E66" i="2"/>
  <c r="E67" i="2"/>
  <c r="E73" i="2"/>
  <c r="E74" i="2"/>
  <c r="E75" i="2"/>
  <c r="E77" i="2"/>
  <c r="E85" i="2"/>
  <c r="E87" i="2"/>
  <c r="E80" i="2"/>
  <c r="C92" i="2"/>
  <c r="C93" i="2"/>
  <c r="C15" i="2"/>
  <c r="C11" i="2"/>
  <c r="C16" i="2"/>
  <c r="C17" i="2"/>
  <c r="E100" i="2"/>
  <c r="E101" i="2"/>
  <c r="C11" i="1"/>
  <c r="C15" i="3"/>
  <c r="E82" i="1"/>
  <c r="E53" i="1"/>
  <c r="E47" i="3"/>
  <c r="E44" i="3"/>
  <c r="E45" i="3"/>
  <c r="E46" i="3"/>
  <c r="E48" i="3"/>
  <c r="E49" i="3"/>
  <c r="E50" i="3"/>
  <c r="E51" i="3"/>
  <c r="E52" i="3"/>
  <c r="E53" i="3"/>
  <c r="E54" i="3"/>
  <c r="E55" i="3"/>
  <c r="E40" i="3"/>
  <c r="E41" i="3"/>
  <c r="E61" i="3"/>
  <c r="E62" i="3"/>
  <c r="E63" i="3"/>
  <c r="E64" i="3"/>
  <c r="E65" i="3"/>
  <c r="E66" i="3"/>
  <c r="E67" i="3"/>
  <c r="E73" i="3"/>
  <c r="E74" i="3"/>
  <c r="E75" i="3"/>
  <c r="E85" i="3"/>
  <c r="D38" i="3"/>
  <c r="E38" i="3"/>
  <c r="E80" i="3"/>
  <c r="D91" i="3"/>
  <c r="D92" i="3"/>
  <c r="C92" i="3"/>
  <c r="E92" i="3"/>
  <c r="D93" i="3"/>
  <c r="E93" i="3"/>
  <c r="D94" i="3"/>
  <c r="E94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E99" i="3"/>
  <c r="E100" i="3"/>
  <c r="C91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8" i="1"/>
  <c r="E38" i="1"/>
  <c r="E41" i="1"/>
  <c r="E42" i="1"/>
  <c r="E43" i="1"/>
  <c r="E46" i="1"/>
  <c r="E47" i="1"/>
  <c r="E48" i="1"/>
  <c r="E49" i="1"/>
  <c r="E50" i="1"/>
  <c r="E51" i="1"/>
  <c r="E52" i="1"/>
  <c r="E54" i="1"/>
  <c r="E55" i="1"/>
  <c r="E56" i="1"/>
  <c r="E57" i="1"/>
  <c r="E63" i="1"/>
  <c r="E64" i="1"/>
  <c r="E65" i="1"/>
  <c r="E66" i="1"/>
  <c r="E67" i="1"/>
  <c r="E68" i="1"/>
  <c r="E69" i="1"/>
  <c r="E75" i="1"/>
  <c r="E76" i="1"/>
  <c r="E77" i="1"/>
  <c r="E79" i="1"/>
  <c r="E85" i="1"/>
  <c r="E100" i="1"/>
  <c r="E99" i="1"/>
  <c r="D92" i="2"/>
  <c r="E92" i="2"/>
  <c r="D93" i="2"/>
  <c r="D94" i="2"/>
  <c r="E94" i="2"/>
  <c r="D95" i="2"/>
  <c r="E95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8" i="2"/>
  <c r="E38" i="2"/>
  <c r="C15" i="1"/>
  <c r="C13" i="1"/>
  <c r="D91" i="1"/>
  <c r="C92" i="1"/>
  <c r="D92" i="1"/>
  <c r="E92" i="1"/>
  <c r="D93" i="1"/>
  <c r="E93" i="1"/>
  <c r="D94" i="1"/>
  <c r="E94" i="1"/>
  <c r="E35" i="2"/>
  <c r="E35" i="1"/>
  <c r="E71" i="1"/>
  <c r="E59" i="1"/>
  <c r="C16" i="1"/>
  <c r="C17" i="1"/>
  <c r="E69" i="2"/>
  <c r="E42" i="3"/>
  <c r="E91" i="3"/>
  <c r="E96" i="3"/>
  <c r="E69" i="3"/>
  <c r="E35" i="3"/>
  <c r="E57" i="3"/>
  <c r="E77" i="3"/>
  <c r="E93" i="2"/>
  <c r="E97" i="2"/>
  <c r="E91" i="1"/>
  <c r="E96" i="1"/>
  <c r="C16" i="3"/>
  <c r="C17" i="3"/>
  <c r="E86" i="2"/>
  <c r="E89" i="2"/>
  <c r="E99" i="2"/>
  <c r="D107" i="2"/>
  <c r="E86" i="1"/>
  <c r="E88" i="1"/>
  <c r="E88" i="3"/>
  <c r="E98" i="3"/>
  <c r="E98" i="1"/>
  <c r="E102" i="1"/>
  <c r="D106" i="3"/>
  <c r="E102" i="3"/>
  <c r="D108" i="2"/>
  <c r="E107" i="2"/>
  <c r="E103" i="2"/>
  <c r="D106" i="1"/>
  <c r="E106" i="1"/>
  <c r="G103" i="2"/>
  <c r="D110" i="2"/>
  <c r="D107" i="3"/>
  <c r="E106" i="3"/>
  <c r="D109" i="2"/>
  <c r="E108" i="2"/>
  <c r="G102" i="1"/>
  <c r="D109" i="1"/>
  <c r="D109" i="3"/>
  <c r="G101" i="3"/>
  <c r="D107" i="1"/>
  <c r="D108" i="1"/>
  <c r="D108" i="3"/>
  <c r="E107" i="3"/>
  <c r="E107" i="1"/>
</calcChain>
</file>

<file path=xl/sharedStrings.xml><?xml version="1.0" encoding="utf-8"?>
<sst xmlns="http://schemas.openxmlformats.org/spreadsheetml/2006/main" count="514" uniqueCount="123">
  <si>
    <t>Rendimiento Esperado</t>
  </si>
  <si>
    <t>Items</t>
  </si>
  <si>
    <t>Unidad</t>
  </si>
  <si>
    <t>Valor</t>
  </si>
  <si>
    <t>Tipo de Cambio</t>
  </si>
  <si>
    <t>US$/kg</t>
  </si>
  <si>
    <t>$/US$</t>
  </si>
  <si>
    <t>$/kg</t>
  </si>
  <si>
    <t>$/ha</t>
  </si>
  <si>
    <t>%</t>
  </si>
  <si>
    <t xml:space="preserve">Flete </t>
  </si>
  <si>
    <t>$/Tn</t>
  </si>
  <si>
    <t>INGRESO BRUTO</t>
  </si>
  <si>
    <t>INGRESO NETO</t>
  </si>
  <si>
    <t>INGRESOS</t>
  </si>
  <si>
    <t>COSTOS</t>
  </si>
  <si>
    <t>Precio de la UTA</t>
  </si>
  <si>
    <t>Labores</t>
  </si>
  <si>
    <t>Rastra Pesada</t>
  </si>
  <si>
    <t>UTA/Labor</t>
  </si>
  <si>
    <t>$/UTA</t>
  </si>
  <si>
    <t>Siembra</t>
  </si>
  <si>
    <t>Aplicación aérea de Fungicida</t>
  </si>
  <si>
    <t>Taipeado</t>
  </si>
  <si>
    <t>TOTAL LABORES</t>
  </si>
  <si>
    <t>INSUMOS</t>
  </si>
  <si>
    <t>Precio/Unidad</t>
  </si>
  <si>
    <t>kg</t>
  </si>
  <si>
    <t>Tratamiento Semilla</t>
  </si>
  <si>
    <t>Fungicidas</t>
  </si>
  <si>
    <t>Zinc (75%)</t>
  </si>
  <si>
    <t>lts</t>
  </si>
  <si>
    <t>HERBICIDAS</t>
  </si>
  <si>
    <t>TOTAL TRATAMIENTO DE SEMILLAS</t>
  </si>
  <si>
    <t>Noomine 40 SC (Bispiribac Sodio)</t>
  </si>
  <si>
    <t>Noomine Gold  10 SC (Bispiribac Sodio)</t>
  </si>
  <si>
    <t>Facet (Quinclorac 25%)</t>
  </si>
  <si>
    <t>Glifosato 62%</t>
  </si>
  <si>
    <t>Kifix (Imazapyr + Imazapic)</t>
  </si>
  <si>
    <t>Command 48% (Clomazone)</t>
  </si>
  <si>
    <t>Aceite Vegetal Metilado (MSO)</t>
  </si>
  <si>
    <t>Clincher (Cyhalofop-Buyl)</t>
  </si>
  <si>
    <t>Aura (Profoxidim)</t>
  </si>
  <si>
    <t>Basagran</t>
  </si>
  <si>
    <t>Cletodim 24%</t>
  </si>
  <si>
    <t>Dicamba</t>
  </si>
  <si>
    <t>TOTAL DE HERBICIDAS</t>
  </si>
  <si>
    <t>FERTILIZANTES</t>
  </si>
  <si>
    <t>Fosfato Monoamónico</t>
  </si>
  <si>
    <t>Mezcla Física (4-30-20)</t>
  </si>
  <si>
    <t>Mezcla Física (15-15-15)</t>
  </si>
  <si>
    <t>Mezcla Física (10-20-30)</t>
  </si>
  <si>
    <t xml:space="preserve">Zinc 75% </t>
  </si>
  <si>
    <t>Urea Granulada</t>
  </si>
  <si>
    <t>FUNGICIDAS</t>
  </si>
  <si>
    <t>Amistar (Azoxistrobin + Ciproconazol)</t>
  </si>
  <si>
    <t>Allegro (Kresoxim metil + Epoxiconazole)</t>
  </si>
  <si>
    <t>Opera (Pyraclostrobin + Epoxiconazole)</t>
  </si>
  <si>
    <t>OTROS INSUMOS</t>
  </si>
  <si>
    <t>Gas Oil para Riego (sin IVA e ITC)</t>
  </si>
  <si>
    <t>Gas Oil para otros usos generales</t>
  </si>
  <si>
    <t>Aceite para Motor Diesel</t>
  </si>
  <si>
    <t>Personal Transitorio</t>
  </si>
  <si>
    <t>TOTAL GASTOS FIJOS DIRECTOS</t>
  </si>
  <si>
    <t>GASTOS VARIABLES DIRECTOS</t>
  </si>
  <si>
    <t>TOTAL GASTOS DIRECTOS</t>
  </si>
  <si>
    <t>GASTOS ESTRUCTURA</t>
  </si>
  <si>
    <t>AMORTIZACIONES DIRECTAS</t>
  </si>
  <si>
    <t>RESULTADOS ECONOMICOS</t>
  </si>
  <si>
    <t>MARGEN BRUTO</t>
  </si>
  <si>
    <t>Campo Arrendado</t>
  </si>
  <si>
    <t>RENTABILIDAD (%)</t>
  </si>
  <si>
    <t>RENDIMIENTO INDIFERENCIA (KG/HA)</t>
  </si>
  <si>
    <t>Gasto de Cosecha y Acarreo</t>
  </si>
  <si>
    <t>Arrendamiento</t>
  </si>
  <si>
    <t>Asesoramiento Técnico (1%)</t>
  </si>
  <si>
    <t>1 persona</t>
  </si>
  <si>
    <t>TOTAL DE FUNGICIDAS</t>
  </si>
  <si>
    <t>Seguro contra Granizo / Viento (2%)*</t>
  </si>
  <si>
    <t>Labor</t>
  </si>
  <si>
    <t>Electricidad</t>
  </si>
  <si>
    <t>kw/ha</t>
  </si>
  <si>
    <t>Bonificación del Personal (2.5%)</t>
  </si>
  <si>
    <t xml:space="preserve"> </t>
  </si>
  <si>
    <t xml:space="preserve">COSTO DE PRODUCCIÓN DE ARROZ </t>
  </si>
  <si>
    <t>POZO PROFUNDO - CAMPO ARRENDADO - RIEGO A COMBUSTIBLE</t>
  </si>
  <si>
    <t>Precio del arroz cáscara puesto en Molino - Dólares</t>
  </si>
  <si>
    <t>kg/ha</t>
  </si>
  <si>
    <t>$/tn</t>
  </si>
  <si>
    <t>Precio del arroz cáscara puesto en Molino - Pesos</t>
  </si>
  <si>
    <t>Precio del arroz cáscara, seco puesto en Molino - Pesos</t>
  </si>
  <si>
    <t>Rastrón</t>
  </si>
  <si>
    <t>Nivelación RTK</t>
  </si>
  <si>
    <t>Aplicación terrestre de Herbicidas</t>
  </si>
  <si>
    <t>Aplicación terrestre de Fertilizantes</t>
  </si>
  <si>
    <t>Reparación y Conservación</t>
  </si>
  <si>
    <t>COSTO TOTAL POR HECTÁREA</t>
  </si>
  <si>
    <t>RESULTADOS ECONÓMICOS</t>
  </si>
  <si>
    <t>* Se asegura una suma de 2500000 pesos por hectárea. El costo corresponde al 2% de ese valor asegurado.</t>
  </si>
  <si>
    <t>REPRESA - CAMPO ARRENDADO - RIEGO A COMBUSTIBLE</t>
  </si>
  <si>
    <t>Unidad/ha</t>
  </si>
  <si>
    <t>Costo/ha</t>
  </si>
  <si>
    <t>Cantidad /ha</t>
  </si>
  <si>
    <t>Costo /ha</t>
  </si>
  <si>
    <t>Precio del arroz cáscara, Seco puesto en Molino - Pesos</t>
  </si>
  <si>
    <t>Fosfato Diamónico</t>
  </si>
  <si>
    <t>Personal Permanente  (5 meses riego)*</t>
  </si>
  <si>
    <t>Conservación de Represa y Canales</t>
  </si>
  <si>
    <t>*SEMILLA Se considera al doble de precio del arroz cáscara debido a la relacion de 2x1.</t>
  </si>
  <si>
    <t>*Se asegura una suma de 2500000 pesos por hectárea. El costo corresponde al 2% de ese valor asegurado.</t>
  </si>
  <si>
    <t>*1 persona de 5 años de antigüedad cuesta 1817845 pesos mensuales categoría conductor tractorista, sueldo bruto + art + leyes sociales.</t>
  </si>
  <si>
    <t>*1 persona de 8 años de antigüedad cuesta 1817485 pesos mensuales categoría conductor tractorista, sueldo bruto + art + leyes sociales.</t>
  </si>
  <si>
    <t>Construcción de Ronda y Canales</t>
  </si>
  <si>
    <t>Aplicación aérea de Fertilizantes (70 kg Urea)</t>
  </si>
  <si>
    <t>Aplicación aérea de Fertilizantes Foliar (Zinc)</t>
  </si>
  <si>
    <t>Semilla*</t>
  </si>
  <si>
    <t>Costo Secado (Secado + Paritaria)</t>
  </si>
  <si>
    <t>POZO PROFUNDO - CAMPO ARRENDADO - RIEGO ELÉCTRICO</t>
  </si>
  <si>
    <t>Personal Permanente (5 meses riego)*</t>
  </si>
  <si>
    <t>TOTAL FERTILIZANTES</t>
  </si>
  <si>
    <t>UTILIDAD (MB-ESTRUCTURA-AMORTIZACIONES)</t>
  </si>
  <si>
    <t>TOTAL GASTOS VARIABLES DIRECTOS</t>
  </si>
  <si>
    <t>Flete (50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</si>
</sst>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"/>
    <numFmt numFmtId="165" formatCode="_-[$USD]\ * #,##0.0_-;\-[$USD]\ * #,##0.0_-;_-[$USD]\ * &quot;-&quot;?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9" fontId="0" fillId="0" borderId="0" xfId="2" applyFont="1" applyAlignment="1">
      <alignment horizontal="right"/>
    </xf>
    <xf numFmtId="164" fontId="0" fillId="0" borderId="0" xfId="0" applyNumberFormat="1" applyAlignment="1">
      <alignment horizontal="right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0" xfId="1" applyNumberFormat="1" applyFont="1" applyAlignment="1">
      <alignment horizontal="center"/>
    </xf>
    <xf numFmtId="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/>
    <xf numFmtId="44" fontId="2" fillId="2" borderId="0" xfId="1" applyFont="1" applyFill="1"/>
    <xf numFmtId="44" fontId="0" fillId="2" borderId="0" xfId="0" applyNumberFormat="1" applyFill="1"/>
    <xf numFmtId="0" fontId="0" fillId="3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4" fontId="2" fillId="2" borderId="0" xfId="1" applyFont="1" applyFill="1" applyAlignment="1">
      <alignment horizontal="center"/>
    </xf>
    <xf numFmtId="0" fontId="0" fillId="4" borderId="0" xfId="0" applyFill="1"/>
    <xf numFmtId="44" fontId="0" fillId="4" borderId="1" xfId="0" applyNumberFormat="1" applyFill="1" applyBorder="1"/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66" fontId="0" fillId="0" borderId="0" xfId="0" applyNumberFormat="1" applyAlignment="1">
      <alignment horizontal="right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9" fontId="0" fillId="4" borderId="1" xfId="2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99060</xdr:rowOff>
    </xdr:from>
    <xdr:to>
      <xdr:col>0</xdr:col>
      <xdr:colOff>584749</xdr:colOff>
      <xdr:row>0</xdr:row>
      <xdr:rowOff>722951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D9D7D1-CDB1-4028-906A-F4D912489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99060"/>
          <a:ext cx="493309" cy="623891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0</xdr:row>
      <xdr:rowOff>129540</xdr:rowOff>
    </xdr:from>
    <xdr:to>
      <xdr:col>4</xdr:col>
      <xdr:colOff>907647</xdr:colOff>
      <xdr:row>0</xdr:row>
      <xdr:rowOff>667533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4B5C2D-7263-4EBD-B0A4-5C5E2D7DE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520" y="129540"/>
          <a:ext cx="831447" cy="537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106680</xdr:rowOff>
    </xdr:from>
    <xdr:to>
      <xdr:col>0</xdr:col>
      <xdr:colOff>584749</xdr:colOff>
      <xdr:row>0</xdr:row>
      <xdr:rowOff>730571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F3DA38-18FE-4344-B9A5-AB3A5BD03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06680"/>
          <a:ext cx="493309" cy="623891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0</xdr:row>
      <xdr:rowOff>167640</xdr:rowOff>
    </xdr:from>
    <xdr:to>
      <xdr:col>4</xdr:col>
      <xdr:colOff>874848</xdr:colOff>
      <xdr:row>0</xdr:row>
      <xdr:rowOff>710231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2B9991-CAD4-6747-8758-431EB3D2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5040" y="167640"/>
          <a:ext cx="829128" cy="5425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114300</xdr:rowOff>
    </xdr:from>
    <xdr:to>
      <xdr:col>0</xdr:col>
      <xdr:colOff>577129</xdr:colOff>
      <xdr:row>0</xdr:row>
      <xdr:rowOff>738191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F8A445-3776-4739-8C3F-58A565E18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300"/>
          <a:ext cx="493309" cy="623891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0</xdr:row>
      <xdr:rowOff>99060</xdr:rowOff>
    </xdr:from>
    <xdr:to>
      <xdr:col>4</xdr:col>
      <xdr:colOff>912948</xdr:colOff>
      <xdr:row>0</xdr:row>
      <xdr:rowOff>641651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1792220-E663-4DCA-8FC1-87C3F8060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3140" y="99060"/>
          <a:ext cx="829128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zoomScale="110" zoomScaleNormal="110" workbookViewId="0">
      <selection activeCell="A96" sqref="A96"/>
    </sheetView>
  </sheetViews>
  <sheetFormatPr baseColWidth="10" defaultColWidth="9.109375" defaultRowHeight="14.4" x14ac:dyDescent="0.3"/>
  <cols>
    <col min="1" max="1" width="49.88671875" bestFit="1" customWidth="1"/>
    <col min="2" max="2" width="10.88671875" bestFit="1" customWidth="1"/>
    <col min="3" max="3" width="12.88671875" bestFit="1" customWidth="1"/>
    <col min="4" max="4" width="13.6640625" bestFit="1" customWidth="1"/>
    <col min="5" max="5" width="14.5546875" customWidth="1"/>
  </cols>
  <sheetData>
    <row r="1" spans="1:5" ht="67.8" customHeight="1" x14ac:dyDescent="0.3">
      <c r="A1" s="33"/>
      <c r="B1" s="33"/>
      <c r="C1" s="33"/>
      <c r="D1" s="33"/>
      <c r="E1" s="33"/>
    </row>
    <row r="2" spans="1:5" ht="15.6" x14ac:dyDescent="0.3">
      <c r="A2" s="43" t="s">
        <v>84</v>
      </c>
      <c r="B2" s="43"/>
      <c r="C2" s="43"/>
      <c r="D2" s="43"/>
      <c r="E2" s="43"/>
    </row>
    <row r="3" spans="1:5" ht="18" x14ac:dyDescent="0.35">
      <c r="A3" s="42" t="s">
        <v>85</v>
      </c>
      <c r="B3" s="36"/>
      <c r="C3" s="36"/>
      <c r="D3" s="36"/>
      <c r="E3" s="36"/>
    </row>
    <row r="4" spans="1:5" x14ac:dyDescent="0.3">
      <c r="A4" s="39" t="s">
        <v>14</v>
      </c>
      <c r="B4" s="39"/>
      <c r="C4" s="39"/>
    </row>
    <row r="6" spans="1:5" x14ac:dyDescent="0.3">
      <c r="A6" s="24" t="s">
        <v>1</v>
      </c>
      <c r="B6" s="25" t="s">
        <v>2</v>
      </c>
      <c r="C6" s="25" t="s">
        <v>3</v>
      </c>
    </row>
    <row r="7" spans="1:5" x14ac:dyDescent="0.3">
      <c r="A7" t="s">
        <v>0</v>
      </c>
      <c r="B7" s="1" t="s">
        <v>87</v>
      </c>
      <c r="C7" s="2">
        <v>8200</v>
      </c>
    </row>
    <row r="8" spans="1:5" x14ac:dyDescent="0.3">
      <c r="A8" t="s">
        <v>86</v>
      </c>
      <c r="B8" s="1" t="s">
        <v>5</v>
      </c>
      <c r="C8" s="32">
        <v>0.20599999999999999</v>
      </c>
    </row>
    <row r="9" spans="1:5" x14ac:dyDescent="0.3">
      <c r="A9" t="s">
        <v>4</v>
      </c>
      <c r="B9" s="1" t="s">
        <v>6</v>
      </c>
      <c r="C9" s="2">
        <v>1450</v>
      </c>
    </row>
    <row r="10" spans="1:5" x14ac:dyDescent="0.3">
      <c r="A10" t="s">
        <v>89</v>
      </c>
      <c r="B10" s="1" t="s">
        <v>7</v>
      </c>
      <c r="C10" s="2">
        <v>300</v>
      </c>
    </row>
    <row r="11" spans="1:5" x14ac:dyDescent="0.3">
      <c r="A11" t="s">
        <v>12</v>
      </c>
      <c r="B11" s="1" t="s">
        <v>8</v>
      </c>
      <c r="C11" s="2">
        <f>+C7*C10</f>
        <v>2460000</v>
      </c>
    </row>
    <row r="12" spans="1:5" x14ac:dyDescent="0.3">
      <c r="A12" t="s">
        <v>116</v>
      </c>
      <c r="B12" s="1" t="s">
        <v>9</v>
      </c>
      <c r="C12" s="4">
        <v>7.0000000000000007E-2</v>
      </c>
    </row>
    <row r="13" spans="1:5" x14ac:dyDescent="0.3">
      <c r="A13" t="s">
        <v>116</v>
      </c>
      <c r="B13" s="1" t="s">
        <v>8</v>
      </c>
      <c r="C13" s="2">
        <f>+(C7+(C7*10%))*C12*C10</f>
        <v>189420.00000000003</v>
      </c>
    </row>
    <row r="14" spans="1:5" x14ac:dyDescent="0.3">
      <c r="A14" t="s">
        <v>10</v>
      </c>
      <c r="B14" s="1" t="s">
        <v>88</v>
      </c>
      <c r="C14" s="2">
        <v>13400</v>
      </c>
    </row>
    <row r="15" spans="1:5" x14ac:dyDescent="0.3">
      <c r="A15" t="s">
        <v>10</v>
      </c>
      <c r="B15" s="1" t="s">
        <v>8</v>
      </c>
      <c r="C15" s="2">
        <f>+C14*(((C7+(C7*10%))/1000))</f>
        <v>120868</v>
      </c>
    </row>
    <row r="16" spans="1:5" x14ac:dyDescent="0.3">
      <c r="A16" t="s">
        <v>13</v>
      </c>
      <c r="B16" s="1" t="s">
        <v>8</v>
      </c>
      <c r="C16" s="2">
        <f>+C11-C13-C15</f>
        <v>2149712</v>
      </c>
    </row>
    <row r="17" spans="1:5" x14ac:dyDescent="0.3">
      <c r="A17" t="s">
        <v>90</v>
      </c>
      <c r="B17" s="1" t="s">
        <v>7</v>
      </c>
      <c r="C17" s="5">
        <f>+C16/C7</f>
        <v>262.16000000000003</v>
      </c>
    </row>
    <row r="19" spans="1:5" x14ac:dyDescent="0.3">
      <c r="A19" s="39" t="s">
        <v>15</v>
      </c>
      <c r="B19" s="39"/>
      <c r="C19" s="39"/>
    </row>
    <row r="20" spans="1:5" x14ac:dyDescent="0.3">
      <c r="A20" t="s">
        <v>1</v>
      </c>
      <c r="B20" s="1" t="s">
        <v>2</v>
      </c>
      <c r="C20" t="s">
        <v>3</v>
      </c>
    </row>
    <row r="21" spans="1:5" x14ac:dyDescent="0.3">
      <c r="A21" s="24" t="s">
        <v>16</v>
      </c>
      <c r="B21" s="25" t="s">
        <v>8</v>
      </c>
      <c r="C21" s="24">
        <v>62000</v>
      </c>
    </row>
    <row r="22" spans="1:5" x14ac:dyDescent="0.3">
      <c r="A22" s="18" t="s">
        <v>17</v>
      </c>
      <c r="B22" s="19" t="s">
        <v>100</v>
      </c>
      <c r="C22" s="18" t="s">
        <v>19</v>
      </c>
      <c r="D22" s="19" t="s">
        <v>20</v>
      </c>
      <c r="E22" s="18" t="s">
        <v>101</v>
      </c>
    </row>
    <row r="23" spans="1:5" x14ac:dyDescent="0.3">
      <c r="A23" t="s">
        <v>18</v>
      </c>
      <c r="B23" s="1">
        <v>2</v>
      </c>
      <c r="C23" s="1">
        <v>1</v>
      </c>
      <c r="D23" s="1">
        <f>+$C$21</f>
        <v>62000</v>
      </c>
      <c r="E23" s="6">
        <f>+B23*C23*D23</f>
        <v>124000</v>
      </c>
    </row>
    <row r="24" spans="1:5" x14ac:dyDescent="0.3">
      <c r="A24" t="s">
        <v>91</v>
      </c>
      <c r="B24" s="1">
        <v>2</v>
      </c>
      <c r="C24" s="1">
        <v>0.6</v>
      </c>
      <c r="D24" s="1">
        <f t="shared" ref="D24:D33" si="0">+$C$21</f>
        <v>62000</v>
      </c>
      <c r="E24" s="6">
        <f>+B24*C24*D24</f>
        <v>74400</v>
      </c>
    </row>
    <row r="25" spans="1:5" x14ac:dyDescent="0.3">
      <c r="A25" t="s">
        <v>92</v>
      </c>
      <c r="B25" s="1">
        <v>1</v>
      </c>
      <c r="C25" s="1">
        <v>0.25</v>
      </c>
      <c r="D25" s="1">
        <f t="shared" si="0"/>
        <v>62000</v>
      </c>
      <c r="E25" s="6">
        <f>+B25*C25*D25</f>
        <v>15500</v>
      </c>
    </row>
    <row r="26" spans="1:5" x14ac:dyDescent="0.3">
      <c r="A26" t="s">
        <v>23</v>
      </c>
      <c r="B26" s="1">
        <v>2</v>
      </c>
      <c r="C26" s="1">
        <v>0.3</v>
      </c>
      <c r="D26" s="1">
        <f t="shared" si="0"/>
        <v>62000</v>
      </c>
      <c r="E26" s="6">
        <f t="shared" ref="E26:E33" si="1">+B26*C26*D26</f>
        <v>37200</v>
      </c>
    </row>
    <row r="27" spans="1:5" x14ac:dyDescent="0.3">
      <c r="A27" t="s">
        <v>21</v>
      </c>
      <c r="B27" s="1">
        <v>1</v>
      </c>
      <c r="C27" s="1">
        <v>1</v>
      </c>
      <c r="D27" s="1">
        <f t="shared" si="0"/>
        <v>62000</v>
      </c>
      <c r="E27" s="6">
        <f t="shared" si="1"/>
        <v>62000</v>
      </c>
    </row>
    <row r="28" spans="1:5" x14ac:dyDescent="0.3">
      <c r="A28" t="s">
        <v>112</v>
      </c>
      <c r="B28" s="1">
        <v>1</v>
      </c>
      <c r="C28" s="1">
        <v>1</v>
      </c>
      <c r="D28" s="1">
        <f t="shared" si="0"/>
        <v>62000</v>
      </c>
      <c r="E28" s="6">
        <f t="shared" si="1"/>
        <v>62000</v>
      </c>
    </row>
    <row r="29" spans="1:5" x14ac:dyDescent="0.3">
      <c r="A29" t="s">
        <v>93</v>
      </c>
      <c r="B29" s="1">
        <v>2</v>
      </c>
      <c r="C29" s="1">
        <v>0.3</v>
      </c>
      <c r="D29" s="1">
        <f t="shared" si="0"/>
        <v>62000</v>
      </c>
      <c r="E29" s="6">
        <f t="shared" si="1"/>
        <v>37200</v>
      </c>
    </row>
    <row r="30" spans="1:5" x14ac:dyDescent="0.3">
      <c r="A30" t="s">
        <v>94</v>
      </c>
      <c r="B30" s="1">
        <v>1</v>
      </c>
      <c r="C30" s="1">
        <v>0.3</v>
      </c>
      <c r="D30" s="1">
        <f t="shared" si="0"/>
        <v>62000</v>
      </c>
      <c r="E30" s="6">
        <f t="shared" si="1"/>
        <v>18600</v>
      </c>
    </row>
    <row r="31" spans="1:5" x14ac:dyDescent="0.3">
      <c r="A31" t="s">
        <v>113</v>
      </c>
      <c r="B31" s="1">
        <v>1</v>
      </c>
      <c r="C31" s="1">
        <v>0.6</v>
      </c>
      <c r="D31" s="1">
        <f t="shared" si="0"/>
        <v>62000</v>
      </c>
      <c r="E31" s="6">
        <f t="shared" si="1"/>
        <v>37200</v>
      </c>
    </row>
    <row r="32" spans="1:5" x14ac:dyDescent="0.3">
      <c r="A32" t="s">
        <v>114</v>
      </c>
      <c r="B32" s="1">
        <v>1</v>
      </c>
      <c r="C32" s="1">
        <v>0.25</v>
      </c>
      <c r="D32" s="1">
        <f t="shared" si="0"/>
        <v>62000</v>
      </c>
      <c r="E32" s="6">
        <f t="shared" si="1"/>
        <v>15500</v>
      </c>
    </row>
    <row r="33" spans="1:5" x14ac:dyDescent="0.3">
      <c r="A33" t="s">
        <v>22</v>
      </c>
      <c r="B33" s="1">
        <v>2</v>
      </c>
      <c r="C33" s="1">
        <v>0.3</v>
      </c>
      <c r="D33" s="1">
        <f t="shared" si="0"/>
        <v>62000</v>
      </c>
      <c r="E33" s="6">
        <f t="shared" si="1"/>
        <v>37200</v>
      </c>
    </row>
    <row r="34" spans="1:5" s="11" customFormat="1" x14ac:dyDescent="0.3">
      <c r="A34"/>
      <c r="B34"/>
      <c r="C34"/>
      <c r="D34"/>
      <c r="E34"/>
    </row>
    <row r="35" spans="1:5" x14ac:dyDescent="0.3">
      <c r="A35" s="18" t="s">
        <v>24</v>
      </c>
      <c r="B35" s="18"/>
      <c r="C35" s="18"/>
      <c r="D35" s="18"/>
      <c r="E35" s="27">
        <f>SUM(E23:E34)</f>
        <v>520800</v>
      </c>
    </row>
    <row r="37" spans="1:5" x14ac:dyDescent="0.3">
      <c r="A37" s="18" t="s">
        <v>25</v>
      </c>
      <c r="B37" s="19" t="s">
        <v>2</v>
      </c>
      <c r="C37" s="19" t="s">
        <v>102</v>
      </c>
      <c r="D37" s="19" t="s">
        <v>26</v>
      </c>
      <c r="E37" s="19" t="s">
        <v>103</v>
      </c>
    </row>
    <row r="38" spans="1:5" x14ac:dyDescent="0.3">
      <c r="A38" t="s">
        <v>115</v>
      </c>
      <c r="B38" t="s">
        <v>27</v>
      </c>
      <c r="C38" s="1">
        <v>130</v>
      </c>
      <c r="D38" s="1">
        <f>+C10*2</f>
        <v>600</v>
      </c>
      <c r="E38" s="7">
        <f>+C38*D38</f>
        <v>78000</v>
      </c>
    </row>
    <row r="39" spans="1:5" x14ac:dyDescent="0.3">
      <c r="A39" s="18" t="s">
        <v>28</v>
      </c>
      <c r="B39" s="18"/>
      <c r="C39" s="18"/>
      <c r="D39" s="18"/>
      <c r="E39" s="18"/>
    </row>
    <row r="40" spans="1:5" x14ac:dyDescent="0.3">
      <c r="A40" t="s">
        <v>29</v>
      </c>
      <c r="B40" t="s">
        <v>31</v>
      </c>
      <c r="C40" s="1">
        <v>0.2</v>
      </c>
      <c r="D40" s="1">
        <v>7</v>
      </c>
      <c r="E40" s="7">
        <f>+C40*D40*$C$9</f>
        <v>2030.0000000000002</v>
      </c>
    </row>
    <row r="41" spans="1:5" x14ac:dyDescent="0.3">
      <c r="A41" t="s">
        <v>30</v>
      </c>
      <c r="B41" t="s">
        <v>31</v>
      </c>
      <c r="C41" s="1">
        <v>0.3</v>
      </c>
      <c r="D41" s="1">
        <v>15</v>
      </c>
      <c r="E41" s="7">
        <f>+C41*D41*$C$9</f>
        <v>6525</v>
      </c>
    </row>
    <row r="42" spans="1:5" x14ac:dyDescent="0.3">
      <c r="A42" s="18" t="s">
        <v>33</v>
      </c>
      <c r="B42" s="18"/>
      <c r="C42" s="18"/>
      <c r="D42" s="18"/>
      <c r="E42" s="21">
        <f>+E40+E41</f>
        <v>8555</v>
      </c>
    </row>
    <row r="43" spans="1:5" x14ac:dyDescent="0.3">
      <c r="A43" s="18" t="s">
        <v>32</v>
      </c>
      <c r="B43" s="19" t="s">
        <v>2</v>
      </c>
      <c r="C43" s="19" t="s">
        <v>102</v>
      </c>
      <c r="D43" s="19" t="s">
        <v>26</v>
      </c>
      <c r="E43" s="19" t="s">
        <v>103</v>
      </c>
    </row>
    <row r="44" spans="1:5" x14ac:dyDescent="0.3">
      <c r="A44" t="s">
        <v>34</v>
      </c>
      <c r="B44" t="s">
        <v>31</v>
      </c>
      <c r="E44" s="7">
        <f>+C44*D44*$C$9</f>
        <v>0</v>
      </c>
    </row>
    <row r="45" spans="1:5" x14ac:dyDescent="0.3">
      <c r="A45" t="s">
        <v>35</v>
      </c>
      <c r="B45" t="s">
        <v>31</v>
      </c>
      <c r="E45" s="7">
        <f t="shared" ref="E45:E55" si="2">+C45*D45*$C$9</f>
        <v>0</v>
      </c>
    </row>
    <row r="46" spans="1:5" x14ac:dyDescent="0.3">
      <c r="A46" t="s">
        <v>36</v>
      </c>
      <c r="B46" t="s">
        <v>31</v>
      </c>
      <c r="C46" s="1">
        <v>1.2</v>
      </c>
      <c r="D46" s="9">
        <v>30</v>
      </c>
      <c r="E46" s="7">
        <f>+C46*D46*$C$9</f>
        <v>52200</v>
      </c>
    </row>
    <row r="47" spans="1:5" x14ac:dyDescent="0.3">
      <c r="A47" t="s">
        <v>37</v>
      </c>
      <c r="B47" t="s">
        <v>31</v>
      </c>
      <c r="C47" s="1">
        <v>5</v>
      </c>
      <c r="D47" s="1">
        <v>4.5</v>
      </c>
      <c r="E47" s="7">
        <f t="shared" si="2"/>
        <v>32625</v>
      </c>
    </row>
    <row r="48" spans="1:5" x14ac:dyDescent="0.3">
      <c r="A48" t="s">
        <v>38</v>
      </c>
      <c r="B48" t="s">
        <v>27</v>
      </c>
      <c r="C48" s="1"/>
      <c r="E48" s="7">
        <f t="shared" si="2"/>
        <v>0</v>
      </c>
    </row>
    <row r="49" spans="1:5" x14ac:dyDescent="0.3">
      <c r="A49" t="s">
        <v>39</v>
      </c>
      <c r="B49" t="s">
        <v>31</v>
      </c>
      <c r="C49" s="1">
        <v>0.7</v>
      </c>
      <c r="D49" s="1">
        <v>14</v>
      </c>
      <c r="E49" s="7">
        <f t="shared" si="2"/>
        <v>14209.999999999998</v>
      </c>
    </row>
    <row r="50" spans="1:5" x14ac:dyDescent="0.3">
      <c r="A50" t="s">
        <v>40</v>
      </c>
      <c r="B50" t="s">
        <v>31</v>
      </c>
      <c r="C50" s="1">
        <v>0.5</v>
      </c>
      <c r="D50" s="1">
        <v>12</v>
      </c>
      <c r="E50" s="7">
        <f>+C50*D50*$C$9</f>
        <v>8700</v>
      </c>
    </row>
    <row r="51" spans="1:5" x14ac:dyDescent="0.3">
      <c r="A51" t="s">
        <v>41</v>
      </c>
      <c r="B51" t="s">
        <v>31</v>
      </c>
      <c r="C51" s="1">
        <v>2.8</v>
      </c>
      <c r="D51" s="1">
        <v>18</v>
      </c>
      <c r="E51" s="7">
        <f>+C51*D51*$C$9*0.4</f>
        <v>29232</v>
      </c>
    </row>
    <row r="52" spans="1:5" x14ac:dyDescent="0.3">
      <c r="A52" t="s">
        <v>42</v>
      </c>
      <c r="B52" t="s">
        <v>31</v>
      </c>
      <c r="C52" s="1">
        <v>0.65</v>
      </c>
      <c r="D52" s="1">
        <v>51</v>
      </c>
      <c r="E52" s="7">
        <f t="shared" si="2"/>
        <v>48067.5</v>
      </c>
    </row>
    <row r="53" spans="1:5" x14ac:dyDescent="0.3">
      <c r="A53" t="s">
        <v>43</v>
      </c>
      <c r="B53" t="s">
        <v>31</v>
      </c>
      <c r="C53" s="1">
        <v>1.5</v>
      </c>
      <c r="D53" s="1">
        <v>25</v>
      </c>
      <c r="E53" s="7">
        <f t="shared" si="2"/>
        <v>54375</v>
      </c>
    </row>
    <row r="54" spans="1:5" x14ac:dyDescent="0.3">
      <c r="A54" t="s">
        <v>44</v>
      </c>
      <c r="B54" t="s">
        <v>31</v>
      </c>
      <c r="C54" s="1">
        <v>0.6</v>
      </c>
      <c r="D54" s="1">
        <v>20</v>
      </c>
      <c r="E54" s="7">
        <f t="shared" si="2"/>
        <v>17400</v>
      </c>
    </row>
    <row r="55" spans="1:5" x14ac:dyDescent="0.3">
      <c r="A55" t="s">
        <v>45</v>
      </c>
      <c r="B55" t="s">
        <v>31</v>
      </c>
      <c r="C55" s="1">
        <v>0.15</v>
      </c>
      <c r="D55" s="1">
        <v>10</v>
      </c>
      <c r="E55" s="7">
        <f t="shared" si="2"/>
        <v>2175</v>
      </c>
    </row>
    <row r="57" spans="1:5" x14ac:dyDescent="0.3">
      <c r="A57" s="18" t="s">
        <v>46</v>
      </c>
      <c r="B57" s="14"/>
      <c r="C57" s="14"/>
      <c r="D57" s="14"/>
      <c r="E57" s="20">
        <f>SUM(E44:E56)</f>
        <v>258984.5</v>
      </c>
    </row>
    <row r="60" spans="1:5" x14ac:dyDescent="0.3">
      <c r="A60" s="18" t="s">
        <v>47</v>
      </c>
      <c r="B60" s="19" t="s">
        <v>2</v>
      </c>
      <c r="C60" s="19" t="s">
        <v>102</v>
      </c>
      <c r="D60" s="19" t="s">
        <v>26</v>
      </c>
      <c r="E60" s="19" t="s">
        <v>103</v>
      </c>
    </row>
    <row r="61" spans="1:5" x14ac:dyDescent="0.3">
      <c r="A61" t="s">
        <v>48</v>
      </c>
      <c r="B61" t="s">
        <v>27</v>
      </c>
      <c r="C61" s="1"/>
      <c r="E61" s="7">
        <f t="shared" ref="E61:E62" si="3">+C61*D61*$C$9</f>
        <v>0</v>
      </c>
    </row>
    <row r="62" spans="1:5" x14ac:dyDescent="0.3">
      <c r="A62" t="s">
        <v>105</v>
      </c>
      <c r="B62" t="s">
        <v>27</v>
      </c>
      <c r="C62" s="1"/>
      <c r="E62" s="7">
        <f t="shared" si="3"/>
        <v>0</v>
      </c>
    </row>
    <row r="63" spans="1:5" x14ac:dyDescent="0.3">
      <c r="A63" t="s">
        <v>49</v>
      </c>
      <c r="B63" t="s">
        <v>27</v>
      </c>
      <c r="C63" s="1">
        <v>100</v>
      </c>
      <c r="D63" s="1">
        <v>0.9</v>
      </c>
      <c r="E63" s="7">
        <f>+C63*D63*$C$9</f>
        <v>130500</v>
      </c>
    </row>
    <row r="64" spans="1:5" x14ac:dyDescent="0.3">
      <c r="A64" t="s">
        <v>50</v>
      </c>
      <c r="B64" t="s">
        <v>27</v>
      </c>
      <c r="C64" s="1"/>
      <c r="D64" s="1"/>
      <c r="E64" s="7">
        <f t="shared" ref="E64:E66" si="4">+C64*D64*$C$9</f>
        <v>0</v>
      </c>
    </row>
    <row r="65" spans="1:5" x14ac:dyDescent="0.3">
      <c r="A65" t="s">
        <v>51</v>
      </c>
      <c r="B65" t="s">
        <v>27</v>
      </c>
      <c r="C65" s="1"/>
      <c r="D65" s="1"/>
      <c r="E65" s="7">
        <f t="shared" si="4"/>
        <v>0</v>
      </c>
    </row>
    <row r="66" spans="1:5" x14ac:dyDescent="0.3">
      <c r="A66" t="s">
        <v>52</v>
      </c>
      <c r="B66" t="s">
        <v>31</v>
      </c>
      <c r="C66" s="1">
        <v>0.7</v>
      </c>
      <c r="D66" s="1">
        <v>20</v>
      </c>
      <c r="E66" s="7">
        <f t="shared" si="4"/>
        <v>20300</v>
      </c>
    </row>
    <row r="67" spans="1:5" x14ac:dyDescent="0.3">
      <c r="A67" t="s">
        <v>53</v>
      </c>
      <c r="B67" t="s">
        <v>27</v>
      </c>
      <c r="C67" s="1">
        <v>200</v>
      </c>
      <c r="D67" s="1">
        <v>1</v>
      </c>
      <c r="E67" s="7">
        <f>+C67*D67*$C$9</f>
        <v>290000</v>
      </c>
    </row>
    <row r="69" spans="1:5" x14ac:dyDescent="0.3">
      <c r="A69" s="18" t="s">
        <v>119</v>
      </c>
      <c r="B69" s="14"/>
      <c r="C69" s="14"/>
      <c r="D69" s="14"/>
      <c r="E69" s="20">
        <f>SUM(E61:E68)</f>
        <v>440800</v>
      </c>
    </row>
    <row r="71" spans="1:5" x14ac:dyDescent="0.3">
      <c r="B71" s="11"/>
      <c r="C71" s="11"/>
      <c r="D71" s="11"/>
      <c r="E71" s="11"/>
    </row>
    <row r="72" spans="1:5" x14ac:dyDescent="0.3">
      <c r="A72" s="18" t="s">
        <v>54</v>
      </c>
      <c r="B72" s="19" t="s">
        <v>2</v>
      </c>
      <c r="C72" s="19" t="s">
        <v>102</v>
      </c>
      <c r="D72" s="19" t="s">
        <v>26</v>
      </c>
      <c r="E72" s="19" t="s">
        <v>103</v>
      </c>
    </row>
    <row r="73" spans="1:5" x14ac:dyDescent="0.3">
      <c r="A73" t="s">
        <v>55</v>
      </c>
      <c r="B73" t="s">
        <v>31</v>
      </c>
      <c r="C73" s="1">
        <v>0.8</v>
      </c>
      <c r="D73" s="1">
        <v>20</v>
      </c>
      <c r="E73" s="7">
        <f>+C73*D73*$C$9</f>
        <v>23200</v>
      </c>
    </row>
    <row r="74" spans="1:5" x14ac:dyDescent="0.3">
      <c r="A74" t="s">
        <v>56</v>
      </c>
      <c r="B74" t="s">
        <v>31</v>
      </c>
      <c r="E74" s="7">
        <f>+C74*D74*$C$9</f>
        <v>0</v>
      </c>
    </row>
    <row r="75" spans="1:5" x14ac:dyDescent="0.3">
      <c r="A75" t="s">
        <v>57</v>
      </c>
      <c r="B75" t="s">
        <v>31</v>
      </c>
      <c r="E75" s="7">
        <f t="shared" ref="E75" si="5">+C75*D75*$C$9</f>
        <v>0</v>
      </c>
    </row>
    <row r="77" spans="1:5" x14ac:dyDescent="0.3">
      <c r="A77" s="18" t="s">
        <v>77</v>
      </c>
      <c r="B77" s="14"/>
      <c r="C77" s="14"/>
      <c r="D77" s="14"/>
      <c r="E77" s="21">
        <f>SUM(E73:E76)</f>
        <v>23200</v>
      </c>
    </row>
    <row r="79" spans="1:5" x14ac:dyDescent="0.3">
      <c r="A79" s="18" t="s">
        <v>58</v>
      </c>
      <c r="B79" s="19" t="s">
        <v>2</v>
      </c>
      <c r="C79" s="19" t="s">
        <v>102</v>
      </c>
      <c r="D79" s="19" t="s">
        <v>26</v>
      </c>
      <c r="E79" s="19" t="s">
        <v>103</v>
      </c>
    </row>
    <row r="80" spans="1:5" x14ac:dyDescent="0.3">
      <c r="A80" t="s">
        <v>59</v>
      </c>
      <c r="B80" t="s">
        <v>31</v>
      </c>
      <c r="C80" s="1">
        <v>400</v>
      </c>
      <c r="D80" s="1">
        <v>1924</v>
      </c>
      <c r="E80" s="7">
        <f>+C80*D80</f>
        <v>769600</v>
      </c>
    </row>
    <row r="81" spans="1:5" x14ac:dyDescent="0.3">
      <c r="A81" t="s">
        <v>60</v>
      </c>
      <c r="B81" t="s">
        <v>31</v>
      </c>
      <c r="C81" s="1"/>
    </row>
    <row r="82" spans="1:5" x14ac:dyDescent="0.3">
      <c r="A82" t="s">
        <v>61</v>
      </c>
      <c r="B82" t="s">
        <v>31</v>
      </c>
      <c r="C82" s="1">
        <v>3</v>
      </c>
    </row>
    <row r="83" spans="1:5" x14ac:dyDescent="0.3">
      <c r="A83" t="s">
        <v>106</v>
      </c>
      <c r="B83" t="s">
        <v>76</v>
      </c>
      <c r="E83" s="7">
        <f>1817485*5*1/80</f>
        <v>113592.8125</v>
      </c>
    </row>
    <row r="84" spans="1:5" x14ac:dyDescent="0.3">
      <c r="A84" t="s">
        <v>62</v>
      </c>
      <c r="E84" s="7"/>
    </row>
    <row r="85" spans="1:5" x14ac:dyDescent="0.3">
      <c r="A85" t="s">
        <v>95</v>
      </c>
      <c r="B85" t="s">
        <v>79</v>
      </c>
      <c r="E85" s="7">
        <f>10*C9</f>
        <v>14500</v>
      </c>
    </row>
    <row r="86" spans="1:5" x14ac:dyDescent="0.3">
      <c r="A86" t="s">
        <v>78</v>
      </c>
      <c r="D86" s="10"/>
      <c r="E86" s="7">
        <f>2500000*2%</f>
        <v>50000</v>
      </c>
    </row>
    <row r="88" spans="1:5" x14ac:dyDescent="0.3">
      <c r="A88" s="18" t="s">
        <v>63</v>
      </c>
      <c r="B88" s="14"/>
      <c r="C88" s="14"/>
      <c r="D88" s="14"/>
      <c r="E88" s="20">
        <f>+E35+E38+E42+E57+E69+E77+E80+E81+E82+E83+E84+E85+E86</f>
        <v>2278032.3125</v>
      </c>
    </row>
    <row r="90" spans="1:5" x14ac:dyDescent="0.3">
      <c r="A90" s="18" t="s">
        <v>64</v>
      </c>
      <c r="B90" s="19" t="s">
        <v>2</v>
      </c>
      <c r="C90" s="19" t="s">
        <v>102</v>
      </c>
      <c r="D90" s="19" t="s">
        <v>26</v>
      </c>
      <c r="E90" s="19" t="s">
        <v>103</v>
      </c>
    </row>
    <row r="91" spans="1:5" x14ac:dyDescent="0.3">
      <c r="A91" t="s">
        <v>82</v>
      </c>
      <c r="B91" t="s">
        <v>27</v>
      </c>
      <c r="C91" s="1">
        <f>2.5%*C7</f>
        <v>205</v>
      </c>
      <c r="D91" s="1">
        <f>+C10</f>
        <v>300</v>
      </c>
      <c r="E91" s="7">
        <f>+C91*D91</f>
        <v>61500</v>
      </c>
    </row>
    <row r="92" spans="1:5" x14ac:dyDescent="0.3">
      <c r="A92" t="s">
        <v>75</v>
      </c>
      <c r="B92" t="s">
        <v>27</v>
      </c>
      <c r="C92" s="1">
        <f>1%*C7</f>
        <v>82</v>
      </c>
      <c r="D92" s="1">
        <f>+C10</f>
        <v>300</v>
      </c>
      <c r="E92" s="7">
        <f t="shared" ref="E92:E93" si="6">+C92*D92</f>
        <v>24600</v>
      </c>
    </row>
    <row r="93" spans="1:5" x14ac:dyDescent="0.3">
      <c r="A93" t="s">
        <v>73</v>
      </c>
      <c r="B93" t="s">
        <v>27</v>
      </c>
      <c r="C93" s="1">
        <v>750</v>
      </c>
      <c r="D93" s="1">
        <f>+C10</f>
        <v>300</v>
      </c>
      <c r="E93" s="7">
        <f t="shared" si="6"/>
        <v>225000</v>
      </c>
    </row>
    <row r="94" spans="1:5" x14ac:dyDescent="0.3">
      <c r="A94" t="s">
        <v>74</v>
      </c>
      <c r="B94" t="s">
        <v>27</v>
      </c>
      <c r="C94" s="1">
        <v>900</v>
      </c>
      <c r="D94" s="1">
        <f>+C10</f>
        <v>300</v>
      </c>
      <c r="E94" s="7">
        <f>+C94*D94</f>
        <v>270000</v>
      </c>
    </row>
    <row r="95" spans="1:5" x14ac:dyDescent="0.3">
      <c r="C95" s="1"/>
      <c r="D95" s="1"/>
    </row>
    <row r="96" spans="1:5" x14ac:dyDescent="0.3">
      <c r="A96" s="18" t="s">
        <v>121</v>
      </c>
      <c r="B96" s="14"/>
      <c r="C96" s="14"/>
      <c r="D96" s="14"/>
      <c r="E96" s="20">
        <f>SUM(E91:E95)</f>
        <v>581100</v>
      </c>
    </row>
    <row r="97" spans="1:7" x14ac:dyDescent="0.3">
      <c r="E97" s="8"/>
    </row>
    <row r="98" spans="1:7" x14ac:dyDescent="0.3">
      <c r="A98" s="14" t="s">
        <v>65</v>
      </c>
      <c r="B98" s="14"/>
      <c r="C98" s="14"/>
      <c r="D98" s="14"/>
      <c r="E98" s="22">
        <f>+E96+E88</f>
        <v>2859132.3125</v>
      </c>
    </row>
    <row r="99" spans="1:7" x14ac:dyDescent="0.3">
      <c r="A99" t="s">
        <v>66</v>
      </c>
      <c r="E99" s="6">
        <f>50*C9</f>
        <v>72500</v>
      </c>
    </row>
    <row r="100" spans="1:7" x14ac:dyDescent="0.3">
      <c r="A100" t="s">
        <v>67</v>
      </c>
      <c r="E100" s="7">
        <f>30*C9</f>
        <v>43500</v>
      </c>
    </row>
    <row r="101" spans="1:7" x14ac:dyDescent="0.3">
      <c r="G101">
        <f>+E102/C9</f>
        <v>2051.8153879310344</v>
      </c>
    </row>
    <row r="102" spans="1:7" x14ac:dyDescent="0.3">
      <c r="A102" s="18" t="s">
        <v>96</v>
      </c>
      <c r="B102" s="14"/>
      <c r="C102" s="14"/>
      <c r="D102" s="14"/>
      <c r="E102" s="20">
        <f>+E98+E99+E100</f>
        <v>2975132.3125</v>
      </c>
    </row>
    <row r="104" spans="1:7" x14ac:dyDescent="0.3">
      <c r="A104" s="39" t="s">
        <v>97</v>
      </c>
      <c r="B104" s="39"/>
      <c r="C104" s="39"/>
      <c r="D104" s="39"/>
      <c r="E104" s="39"/>
    </row>
    <row r="105" spans="1:7" x14ac:dyDescent="0.3">
      <c r="A105" s="28"/>
      <c r="B105" s="28"/>
      <c r="C105" s="28"/>
      <c r="D105" s="41" t="s">
        <v>70</v>
      </c>
      <c r="E105" s="41"/>
    </row>
    <row r="106" spans="1:7" x14ac:dyDescent="0.3">
      <c r="A106" s="28" t="s">
        <v>69</v>
      </c>
      <c r="B106" s="28"/>
      <c r="C106" s="28"/>
      <c r="D106" s="29">
        <f>+C16-E98</f>
        <v>-709420.3125</v>
      </c>
      <c r="E106" s="30">
        <f>+D106/$C$9</f>
        <v>-489.25538793103448</v>
      </c>
    </row>
    <row r="107" spans="1:7" x14ac:dyDescent="0.3">
      <c r="A107" s="28" t="s">
        <v>120</v>
      </c>
      <c r="B107" s="28"/>
      <c r="C107" s="28"/>
      <c r="D107" s="29">
        <f>+D106-E99-E100</f>
        <v>-825420.3125</v>
      </c>
      <c r="E107" s="30">
        <f>+D107/$C$9</f>
        <v>-569.25538793103453</v>
      </c>
    </row>
    <row r="108" spans="1:7" x14ac:dyDescent="0.3">
      <c r="A108" s="28" t="s">
        <v>71</v>
      </c>
      <c r="B108" s="28"/>
      <c r="C108" s="28"/>
      <c r="D108" s="37">
        <f>+D107/E98</f>
        <v>-0.28869608758269033</v>
      </c>
      <c r="E108" s="37"/>
    </row>
    <row r="109" spans="1:7" x14ac:dyDescent="0.3">
      <c r="A109" s="28" t="s">
        <v>72</v>
      </c>
      <c r="B109" s="28"/>
      <c r="C109" s="28" t="s">
        <v>87</v>
      </c>
      <c r="D109" s="38">
        <f>+E102/C17</f>
        <v>11348.53643767165</v>
      </c>
      <c r="E109" s="38"/>
    </row>
    <row r="111" spans="1:7" x14ac:dyDescent="0.3">
      <c r="A111" t="s">
        <v>108</v>
      </c>
    </row>
    <row r="112" spans="1:7" x14ac:dyDescent="0.3">
      <c r="A112" t="s">
        <v>111</v>
      </c>
    </row>
    <row r="113" spans="1:1" x14ac:dyDescent="0.3">
      <c r="A113" t="s">
        <v>98</v>
      </c>
    </row>
  </sheetData>
  <mergeCells count="9">
    <mergeCell ref="A1:E1"/>
    <mergeCell ref="D108:E108"/>
    <mergeCell ref="D109:E109"/>
    <mergeCell ref="A2:E2"/>
    <mergeCell ref="A3:E3"/>
    <mergeCell ref="A4:C4"/>
    <mergeCell ref="A19:C19"/>
    <mergeCell ref="A104:E104"/>
    <mergeCell ref="D105:E10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4"/>
  <sheetViews>
    <sheetView topLeftCell="A16" zoomScale="110" zoomScaleNormal="110" workbookViewId="0">
      <selection activeCell="A97" sqref="A97"/>
    </sheetView>
  </sheetViews>
  <sheetFormatPr baseColWidth="10" defaultColWidth="9.109375" defaultRowHeight="14.4" x14ac:dyDescent="0.3"/>
  <cols>
    <col min="1" max="1" width="49.88671875" bestFit="1" customWidth="1"/>
    <col min="2" max="2" width="10.88671875" bestFit="1" customWidth="1"/>
    <col min="3" max="3" width="12.88671875" bestFit="1" customWidth="1"/>
    <col min="4" max="4" width="13.6640625" bestFit="1" customWidth="1"/>
    <col min="5" max="5" width="14.5546875" customWidth="1"/>
  </cols>
  <sheetData>
    <row r="1" spans="1:5" ht="67.8" customHeight="1" x14ac:dyDescent="0.3">
      <c r="A1" s="33"/>
      <c r="B1" s="33"/>
      <c r="C1" s="33"/>
      <c r="D1" s="33"/>
      <c r="E1" s="33"/>
    </row>
    <row r="2" spans="1:5" ht="15.6" x14ac:dyDescent="0.3">
      <c r="A2" s="34" t="s">
        <v>84</v>
      </c>
      <c r="B2" s="34"/>
      <c r="C2" s="34"/>
      <c r="D2" s="34"/>
      <c r="E2" s="34"/>
    </row>
    <row r="3" spans="1:5" ht="18" x14ac:dyDescent="0.35">
      <c r="A3" s="42" t="s">
        <v>99</v>
      </c>
      <c r="B3" s="42"/>
      <c r="C3" s="42"/>
      <c r="D3" s="42"/>
      <c r="E3" s="42"/>
    </row>
    <row r="4" spans="1:5" x14ac:dyDescent="0.3">
      <c r="A4" s="39" t="s">
        <v>14</v>
      </c>
      <c r="B4" s="39"/>
      <c r="C4" s="39"/>
    </row>
    <row r="6" spans="1:5" x14ac:dyDescent="0.3">
      <c r="A6" s="24" t="s">
        <v>1</v>
      </c>
      <c r="B6" s="25" t="s">
        <v>2</v>
      </c>
      <c r="C6" s="25" t="s">
        <v>3</v>
      </c>
    </row>
    <row r="7" spans="1:5" x14ac:dyDescent="0.3">
      <c r="A7" t="s">
        <v>0</v>
      </c>
      <c r="B7" s="1" t="s">
        <v>87</v>
      </c>
      <c r="C7" s="2">
        <v>8200</v>
      </c>
    </row>
    <row r="8" spans="1:5" x14ac:dyDescent="0.3">
      <c r="A8" t="s">
        <v>86</v>
      </c>
      <c r="B8" s="1" t="s">
        <v>5</v>
      </c>
      <c r="C8" s="3">
        <v>0.20599999999999999</v>
      </c>
    </row>
    <row r="9" spans="1:5" x14ac:dyDescent="0.3">
      <c r="A9" t="s">
        <v>4</v>
      </c>
      <c r="B9" s="1" t="s">
        <v>6</v>
      </c>
      <c r="C9" s="2">
        <v>1450</v>
      </c>
    </row>
    <row r="10" spans="1:5" x14ac:dyDescent="0.3">
      <c r="A10" t="s">
        <v>89</v>
      </c>
      <c r="B10" s="1" t="s">
        <v>7</v>
      </c>
      <c r="C10" s="2">
        <v>300</v>
      </c>
    </row>
    <row r="11" spans="1:5" x14ac:dyDescent="0.3">
      <c r="A11" t="s">
        <v>12</v>
      </c>
      <c r="B11" s="1" t="s">
        <v>8</v>
      </c>
      <c r="C11" s="2">
        <f>+C7*C10</f>
        <v>2460000</v>
      </c>
    </row>
    <row r="12" spans="1:5" x14ac:dyDescent="0.3">
      <c r="A12" t="s">
        <v>116</v>
      </c>
      <c r="B12" s="1" t="s">
        <v>9</v>
      </c>
      <c r="C12" s="4">
        <v>7.0000000000000007E-2</v>
      </c>
    </row>
    <row r="13" spans="1:5" x14ac:dyDescent="0.3">
      <c r="A13" t="s">
        <v>116</v>
      </c>
      <c r="B13" s="1" t="s">
        <v>8</v>
      </c>
      <c r="C13" s="2">
        <f>+(C7+(C7*10%))*C12*C10</f>
        <v>189420.00000000003</v>
      </c>
    </row>
    <row r="14" spans="1:5" x14ac:dyDescent="0.3">
      <c r="A14" t="s">
        <v>10</v>
      </c>
      <c r="B14" s="1" t="s">
        <v>11</v>
      </c>
      <c r="C14" s="2">
        <v>13400</v>
      </c>
    </row>
    <row r="15" spans="1:5" x14ac:dyDescent="0.3">
      <c r="A15" t="s">
        <v>10</v>
      </c>
      <c r="B15" s="1" t="s">
        <v>8</v>
      </c>
      <c r="C15" s="2">
        <f>+C14*(((C7+(C7*10%))/1000))</f>
        <v>120868</v>
      </c>
    </row>
    <row r="16" spans="1:5" x14ac:dyDescent="0.3">
      <c r="A16" t="s">
        <v>13</v>
      </c>
      <c r="B16" s="1" t="s">
        <v>8</v>
      </c>
      <c r="C16" s="2">
        <f>+C11-C13-C15</f>
        <v>2149712</v>
      </c>
    </row>
    <row r="17" spans="1:5" x14ac:dyDescent="0.3">
      <c r="A17" t="s">
        <v>90</v>
      </c>
      <c r="B17" s="1" t="s">
        <v>7</v>
      </c>
      <c r="C17" s="5">
        <f>+C16/C7</f>
        <v>262.16000000000003</v>
      </c>
    </row>
    <row r="19" spans="1:5" x14ac:dyDescent="0.3">
      <c r="A19" s="35" t="s">
        <v>15</v>
      </c>
      <c r="B19" s="35"/>
      <c r="C19" s="35"/>
    </row>
    <row r="20" spans="1:5" x14ac:dyDescent="0.3">
      <c r="A20" t="s">
        <v>1</v>
      </c>
      <c r="B20" s="1" t="s">
        <v>2</v>
      </c>
      <c r="C20" t="s">
        <v>3</v>
      </c>
    </row>
    <row r="21" spans="1:5" x14ac:dyDescent="0.3">
      <c r="A21" s="24" t="s">
        <v>16</v>
      </c>
      <c r="B21" s="25" t="s">
        <v>8</v>
      </c>
      <c r="C21" s="24">
        <v>62000</v>
      </c>
    </row>
    <row r="22" spans="1:5" x14ac:dyDescent="0.3">
      <c r="A22" s="18" t="s">
        <v>17</v>
      </c>
      <c r="B22" s="19" t="s">
        <v>100</v>
      </c>
      <c r="C22" s="18" t="s">
        <v>19</v>
      </c>
      <c r="D22" s="19" t="s">
        <v>20</v>
      </c>
      <c r="E22" s="18" t="s">
        <v>101</v>
      </c>
    </row>
    <row r="23" spans="1:5" x14ac:dyDescent="0.3">
      <c r="A23" t="s">
        <v>18</v>
      </c>
      <c r="B23" s="1">
        <v>2</v>
      </c>
      <c r="C23" s="1">
        <v>1</v>
      </c>
      <c r="D23" s="1">
        <f>+$C$21</f>
        <v>62000</v>
      </c>
      <c r="E23" s="6">
        <f>+B23*C23*D23</f>
        <v>124000</v>
      </c>
    </row>
    <row r="24" spans="1:5" x14ac:dyDescent="0.3">
      <c r="A24" t="s">
        <v>91</v>
      </c>
      <c r="B24" s="1">
        <v>2</v>
      </c>
      <c r="C24" s="1">
        <v>0.6</v>
      </c>
      <c r="D24" s="1">
        <f t="shared" ref="D24:D33" si="0">+$C$21</f>
        <v>62000</v>
      </c>
      <c r="E24" s="6">
        <f>+B24*C24*D24</f>
        <v>74400</v>
      </c>
    </row>
    <row r="25" spans="1:5" x14ac:dyDescent="0.3">
      <c r="A25" t="s">
        <v>92</v>
      </c>
      <c r="B25" s="1">
        <v>1</v>
      </c>
      <c r="C25" s="1">
        <v>0.25</v>
      </c>
      <c r="D25" s="1">
        <f t="shared" si="0"/>
        <v>62000</v>
      </c>
      <c r="E25" s="6">
        <f>+B25*C25*D25</f>
        <v>15500</v>
      </c>
    </row>
    <row r="26" spans="1:5" x14ac:dyDescent="0.3">
      <c r="A26" t="s">
        <v>23</v>
      </c>
      <c r="B26" s="1">
        <v>2</v>
      </c>
      <c r="C26" s="1">
        <v>0.3</v>
      </c>
      <c r="D26" s="1">
        <f t="shared" si="0"/>
        <v>62000</v>
      </c>
      <c r="E26" s="6">
        <f t="shared" ref="E26:E33" si="1">+B26*C26*D26</f>
        <v>37200</v>
      </c>
    </row>
    <row r="27" spans="1:5" x14ac:dyDescent="0.3">
      <c r="A27" t="s">
        <v>21</v>
      </c>
      <c r="B27" s="1">
        <v>1</v>
      </c>
      <c r="C27" s="1">
        <v>1</v>
      </c>
      <c r="D27" s="1">
        <f t="shared" si="0"/>
        <v>62000</v>
      </c>
      <c r="E27" s="6">
        <f t="shared" si="1"/>
        <v>62000</v>
      </c>
    </row>
    <row r="28" spans="1:5" x14ac:dyDescent="0.3">
      <c r="A28" t="s">
        <v>112</v>
      </c>
      <c r="B28" s="1">
        <v>1</v>
      </c>
      <c r="C28" s="1">
        <v>1</v>
      </c>
      <c r="D28" s="1">
        <f t="shared" si="0"/>
        <v>62000</v>
      </c>
      <c r="E28" s="6">
        <f t="shared" si="1"/>
        <v>62000</v>
      </c>
    </row>
    <row r="29" spans="1:5" x14ac:dyDescent="0.3">
      <c r="A29" t="s">
        <v>93</v>
      </c>
      <c r="B29" s="1">
        <v>2</v>
      </c>
      <c r="C29" s="1">
        <v>0.3</v>
      </c>
      <c r="D29" s="1">
        <f t="shared" si="0"/>
        <v>62000</v>
      </c>
      <c r="E29" s="6">
        <f t="shared" si="1"/>
        <v>37200</v>
      </c>
    </row>
    <row r="30" spans="1:5" x14ac:dyDescent="0.3">
      <c r="A30" t="s">
        <v>94</v>
      </c>
      <c r="B30" s="1">
        <v>1</v>
      </c>
      <c r="C30" s="1">
        <v>0.3</v>
      </c>
      <c r="D30" s="1">
        <f t="shared" si="0"/>
        <v>62000</v>
      </c>
      <c r="E30" s="6">
        <f t="shared" si="1"/>
        <v>18600</v>
      </c>
    </row>
    <row r="31" spans="1:5" x14ac:dyDescent="0.3">
      <c r="A31" t="s">
        <v>113</v>
      </c>
      <c r="B31" s="1">
        <v>1</v>
      </c>
      <c r="C31" s="1">
        <v>0.6</v>
      </c>
      <c r="D31" s="1">
        <f t="shared" si="0"/>
        <v>62000</v>
      </c>
      <c r="E31" s="6">
        <f t="shared" si="1"/>
        <v>37200</v>
      </c>
    </row>
    <row r="32" spans="1:5" x14ac:dyDescent="0.3">
      <c r="A32" t="s">
        <v>114</v>
      </c>
      <c r="B32" s="1">
        <v>1</v>
      </c>
      <c r="C32" s="1">
        <v>0.25</v>
      </c>
      <c r="D32" s="1">
        <f t="shared" si="0"/>
        <v>62000</v>
      </c>
      <c r="E32" s="6">
        <f t="shared" si="1"/>
        <v>15500</v>
      </c>
    </row>
    <row r="33" spans="1:5" x14ac:dyDescent="0.3">
      <c r="A33" t="s">
        <v>22</v>
      </c>
      <c r="B33" s="1">
        <v>2</v>
      </c>
      <c r="C33" s="1">
        <v>0.3</v>
      </c>
      <c r="D33" s="1">
        <f t="shared" si="0"/>
        <v>62000</v>
      </c>
      <c r="E33" s="6">
        <f t="shared" si="1"/>
        <v>37200</v>
      </c>
    </row>
    <row r="35" spans="1:5" s="11" customFormat="1" x14ac:dyDescent="0.3">
      <c r="A35" s="18" t="s">
        <v>24</v>
      </c>
      <c r="B35" s="18"/>
      <c r="C35" s="18"/>
      <c r="D35" s="18"/>
      <c r="E35" s="27">
        <f>SUM(E23:E34)</f>
        <v>520800</v>
      </c>
    </row>
    <row r="37" spans="1:5" x14ac:dyDescent="0.3">
      <c r="A37" s="18" t="s">
        <v>25</v>
      </c>
      <c r="B37" s="19" t="s">
        <v>2</v>
      </c>
      <c r="C37" s="19" t="s">
        <v>102</v>
      </c>
      <c r="D37" s="19" t="s">
        <v>26</v>
      </c>
      <c r="E37" s="19" t="s">
        <v>103</v>
      </c>
    </row>
    <row r="38" spans="1:5" x14ac:dyDescent="0.3">
      <c r="A38" t="s">
        <v>115</v>
      </c>
      <c r="B38" t="s">
        <v>27</v>
      </c>
      <c r="C38" s="1">
        <v>130</v>
      </c>
      <c r="D38" s="1">
        <f>+C10*2</f>
        <v>600</v>
      </c>
      <c r="E38" s="7">
        <f>+C38*D38</f>
        <v>78000</v>
      </c>
    </row>
    <row r="39" spans="1:5" x14ac:dyDescent="0.3">
      <c r="A39" s="18" t="s">
        <v>28</v>
      </c>
      <c r="B39" s="18"/>
      <c r="C39" s="18"/>
      <c r="D39" s="18"/>
      <c r="E39" s="18"/>
    </row>
    <row r="40" spans="1:5" x14ac:dyDescent="0.3">
      <c r="A40" t="s">
        <v>29</v>
      </c>
      <c r="B40" t="s">
        <v>31</v>
      </c>
      <c r="C40" s="1">
        <v>0.2</v>
      </c>
      <c r="D40" s="1">
        <v>7</v>
      </c>
      <c r="E40" s="7">
        <f>+C40*D40*$C$9</f>
        <v>2030.0000000000002</v>
      </c>
    </row>
    <row r="41" spans="1:5" x14ac:dyDescent="0.3">
      <c r="A41" t="s">
        <v>30</v>
      </c>
      <c r="B41" t="s">
        <v>31</v>
      </c>
      <c r="C41" s="1">
        <v>0.3</v>
      </c>
      <c r="D41" s="1">
        <v>15</v>
      </c>
      <c r="E41" s="7">
        <f>+C41*D41*$C$9</f>
        <v>6525</v>
      </c>
    </row>
    <row r="42" spans="1:5" x14ac:dyDescent="0.3">
      <c r="A42" s="18" t="s">
        <v>33</v>
      </c>
      <c r="B42" s="18"/>
      <c r="C42" s="18"/>
      <c r="D42" s="18"/>
      <c r="E42" s="21">
        <f>+E40+E41</f>
        <v>8555</v>
      </c>
    </row>
    <row r="43" spans="1:5" x14ac:dyDescent="0.3">
      <c r="A43" s="18" t="s">
        <v>32</v>
      </c>
      <c r="B43" s="19" t="s">
        <v>2</v>
      </c>
      <c r="C43" s="19" t="s">
        <v>102</v>
      </c>
      <c r="D43" s="19" t="s">
        <v>26</v>
      </c>
      <c r="E43" s="19" t="s">
        <v>103</v>
      </c>
    </row>
    <row r="44" spans="1:5" x14ac:dyDescent="0.3">
      <c r="A44" t="s">
        <v>34</v>
      </c>
      <c r="B44" t="s">
        <v>31</v>
      </c>
      <c r="E44" s="7">
        <f>+C44*D44*$C$9</f>
        <v>0</v>
      </c>
    </row>
    <row r="45" spans="1:5" x14ac:dyDescent="0.3">
      <c r="A45" t="s">
        <v>35</v>
      </c>
      <c r="B45" t="s">
        <v>31</v>
      </c>
      <c r="E45" s="7">
        <f t="shared" ref="E45:E55" si="2">+C45*D45*$C$9</f>
        <v>0</v>
      </c>
    </row>
    <row r="46" spans="1:5" x14ac:dyDescent="0.3">
      <c r="A46" t="s">
        <v>36</v>
      </c>
      <c r="B46" t="s">
        <v>31</v>
      </c>
      <c r="C46" s="1">
        <v>1.2</v>
      </c>
      <c r="D46" s="9">
        <v>30</v>
      </c>
      <c r="E46" s="7">
        <f t="shared" si="2"/>
        <v>52200</v>
      </c>
    </row>
    <row r="47" spans="1:5" x14ac:dyDescent="0.3">
      <c r="A47" t="s">
        <v>37</v>
      </c>
      <c r="B47" t="s">
        <v>31</v>
      </c>
      <c r="C47" s="1">
        <v>5</v>
      </c>
      <c r="D47" s="1">
        <v>4.5</v>
      </c>
      <c r="E47" s="7">
        <f t="shared" si="2"/>
        <v>32625</v>
      </c>
    </row>
    <row r="48" spans="1:5" x14ac:dyDescent="0.3">
      <c r="A48" t="s">
        <v>38</v>
      </c>
      <c r="B48" t="s">
        <v>27</v>
      </c>
      <c r="C48" s="1"/>
      <c r="E48" s="7">
        <f t="shared" si="2"/>
        <v>0</v>
      </c>
    </row>
    <row r="49" spans="1:5" x14ac:dyDescent="0.3">
      <c r="A49" t="s">
        <v>39</v>
      </c>
      <c r="B49" t="s">
        <v>31</v>
      </c>
      <c r="C49" s="1">
        <v>0.7</v>
      </c>
      <c r="D49" s="1">
        <v>14</v>
      </c>
      <c r="E49" s="7">
        <f t="shared" si="2"/>
        <v>14209.999999999998</v>
      </c>
    </row>
    <row r="50" spans="1:5" x14ac:dyDescent="0.3">
      <c r="A50" t="s">
        <v>40</v>
      </c>
      <c r="B50" t="s">
        <v>31</v>
      </c>
      <c r="C50" s="1">
        <v>0.5</v>
      </c>
      <c r="D50" s="1">
        <v>12</v>
      </c>
      <c r="E50" s="7">
        <f t="shared" si="2"/>
        <v>8700</v>
      </c>
    </row>
    <row r="51" spans="1:5" x14ac:dyDescent="0.3">
      <c r="A51" t="s">
        <v>41</v>
      </c>
      <c r="B51" t="s">
        <v>31</v>
      </c>
      <c r="C51" s="1">
        <v>2.8</v>
      </c>
      <c r="D51" s="1">
        <v>18</v>
      </c>
      <c r="E51" s="7">
        <f>+C51*D51*$C$9*0.4</f>
        <v>29232</v>
      </c>
    </row>
    <row r="52" spans="1:5" x14ac:dyDescent="0.3">
      <c r="A52" t="s">
        <v>42</v>
      </c>
      <c r="B52" t="s">
        <v>31</v>
      </c>
      <c r="C52" s="1">
        <v>0.65</v>
      </c>
      <c r="D52" s="1">
        <v>51</v>
      </c>
      <c r="E52" s="7">
        <f t="shared" si="2"/>
        <v>48067.5</v>
      </c>
    </row>
    <row r="53" spans="1:5" x14ac:dyDescent="0.3">
      <c r="A53" t="s">
        <v>43</v>
      </c>
      <c r="B53" t="s">
        <v>31</v>
      </c>
      <c r="C53" s="1">
        <v>1.5</v>
      </c>
      <c r="D53" s="1">
        <v>25</v>
      </c>
      <c r="E53" s="7">
        <f t="shared" si="2"/>
        <v>54375</v>
      </c>
    </row>
    <row r="54" spans="1:5" x14ac:dyDescent="0.3">
      <c r="A54" t="s">
        <v>44</v>
      </c>
      <c r="B54" t="s">
        <v>31</v>
      </c>
      <c r="C54" s="1">
        <v>0.6</v>
      </c>
      <c r="D54" s="1">
        <v>20</v>
      </c>
      <c r="E54" s="7">
        <f t="shared" si="2"/>
        <v>17400</v>
      </c>
    </row>
    <row r="55" spans="1:5" x14ac:dyDescent="0.3">
      <c r="A55" t="s">
        <v>45</v>
      </c>
      <c r="B55" t="s">
        <v>31</v>
      </c>
      <c r="C55" s="1">
        <v>0.15</v>
      </c>
      <c r="D55" s="1">
        <v>10</v>
      </c>
      <c r="E55" s="7">
        <f t="shared" si="2"/>
        <v>2175</v>
      </c>
    </row>
    <row r="57" spans="1:5" x14ac:dyDescent="0.3">
      <c r="A57" s="18" t="s">
        <v>46</v>
      </c>
      <c r="B57" s="14"/>
      <c r="C57" s="14"/>
      <c r="D57" s="14"/>
      <c r="E57" s="20">
        <f>SUM(E44:E56)</f>
        <v>258984.5</v>
      </c>
    </row>
    <row r="60" spans="1:5" x14ac:dyDescent="0.3">
      <c r="A60" s="18" t="s">
        <v>47</v>
      </c>
      <c r="B60" s="19" t="s">
        <v>2</v>
      </c>
      <c r="C60" s="19" t="s">
        <v>102</v>
      </c>
      <c r="D60" s="19" t="s">
        <v>26</v>
      </c>
      <c r="E60" s="19" t="s">
        <v>103</v>
      </c>
    </row>
    <row r="61" spans="1:5" x14ac:dyDescent="0.3">
      <c r="A61" t="s">
        <v>48</v>
      </c>
      <c r="B61" t="s">
        <v>27</v>
      </c>
      <c r="C61" s="1"/>
      <c r="E61" s="7">
        <f t="shared" ref="E61:E62" si="3">+C61*D61*$C$9</f>
        <v>0</v>
      </c>
    </row>
    <row r="62" spans="1:5" x14ac:dyDescent="0.3">
      <c r="A62" t="s">
        <v>105</v>
      </c>
      <c r="B62" t="s">
        <v>27</v>
      </c>
      <c r="C62" s="1"/>
      <c r="E62" s="7">
        <f t="shared" si="3"/>
        <v>0</v>
      </c>
    </row>
    <row r="63" spans="1:5" x14ac:dyDescent="0.3">
      <c r="A63" t="s">
        <v>49</v>
      </c>
      <c r="B63" t="s">
        <v>27</v>
      </c>
      <c r="C63" s="1">
        <v>100</v>
      </c>
      <c r="D63" s="1">
        <v>0.9</v>
      </c>
      <c r="E63" s="7">
        <f>+C63*D63*$C$9</f>
        <v>130500</v>
      </c>
    </row>
    <row r="64" spans="1:5" x14ac:dyDescent="0.3">
      <c r="A64" t="s">
        <v>50</v>
      </c>
      <c r="B64" t="s">
        <v>27</v>
      </c>
      <c r="C64" s="1"/>
      <c r="D64" s="1"/>
      <c r="E64" s="7">
        <f t="shared" ref="E64:E66" si="4">+C64*D64*$C$9</f>
        <v>0</v>
      </c>
    </row>
    <row r="65" spans="1:5" x14ac:dyDescent="0.3">
      <c r="A65" t="s">
        <v>51</v>
      </c>
      <c r="B65" t="s">
        <v>27</v>
      </c>
      <c r="C65" s="1"/>
      <c r="D65" s="1"/>
      <c r="E65" s="7">
        <f t="shared" si="4"/>
        <v>0</v>
      </c>
    </row>
    <row r="66" spans="1:5" x14ac:dyDescent="0.3">
      <c r="A66" t="s">
        <v>52</v>
      </c>
      <c r="B66" t="s">
        <v>31</v>
      </c>
      <c r="C66" s="1">
        <v>0.7</v>
      </c>
      <c r="D66" s="1">
        <v>20</v>
      </c>
      <c r="E66" s="7">
        <f t="shared" si="4"/>
        <v>20300</v>
      </c>
    </row>
    <row r="67" spans="1:5" x14ac:dyDescent="0.3">
      <c r="A67" t="s">
        <v>53</v>
      </c>
      <c r="B67" t="s">
        <v>27</v>
      </c>
      <c r="C67" s="1">
        <v>200</v>
      </c>
      <c r="D67" s="1">
        <v>1</v>
      </c>
      <c r="E67" s="7">
        <f>+C67*D67*$C$9</f>
        <v>290000</v>
      </c>
    </row>
    <row r="69" spans="1:5" x14ac:dyDescent="0.3">
      <c r="A69" s="18" t="s">
        <v>119</v>
      </c>
      <c r="B69" s="14"/>
      <c r="C69" s="14"/>
      <c r="D69" s="14"/>
      <c r="E69" s="20">
        <f>SUM(E61:E68)</f>
        <v>440800</v>
      </c>
    </row>
    <row r="71" spans="1:5" x14ac:dyDescent="0.3">
      <c r="B71" s="11"/>
      <c r="C71" s="11"/>
      <c r="D71" s="11"/>
      <c r="E71" s="11"/>
    </row>
    <row r="72" spans="1:5" x14ac:dyDescent="0.3">
      <c r="A72" s="18" t="s">
        <v>54</v>
      </c>
      <c r="B72" s="19" t="s">
        <v>2</v>
      </c>
      <c r="C72" s="19" t="s">
        <v>102</v>
      </c>
      <c r="D72" s="19" t="s">
        <v>26</v>
      </c>
      <c r="E72" s="19" t="s">
        <v>103</v>
      </c>
    </row>
    <row r="73" spans="1:5" x14ac:dyDescent="0.3">
      <c r="A73" t="s">
        <v>55</v>
      </c>
      <c r="B73" t="s">
        <v>31</v>
      </c>
      <c r="C73" s="1">
        <v>0.8</v>
      </c>
      <c r="D73" s="1">
        <v>20</v>
      </c>
      <c r="E73" s="7">
        <f>+C73*D73*$C$9</f>
        <v>23200</v>
      </c>
    </row>
    <row r="74" spans="1:5" x14ac:dyDescent="0.3">
      <c r="A74" t="s">
        <v>56</v>
      </c>
      <c r="B74" t="s">
        <v>31</v>
      </c>
      <c r="E74" s="7">
        <f t="shared" ref="E74:E75" si="5">+C74*D74*$C$9</f>
        <v>0</v>
      </c>
    </row>
    <row r="75" spans="1:5" x14ac:dyDescent="0.3">
      <c r="A75" t="s">
        <v>57</v>
      </c>
      <c r="B75" t="s">
        <v>31</v>
      </c>
      <c r="E75" s="7">
        <f t="shared" si="5"/>
        <v>0</v>
      </c>
    </row>
    <row r="77" spans="1:5" x14ac:dyDescent="0.3">
      <c r="A77" s="18" t="s">
        <v>77</v>
      </c>
      <c r="B77" s="14"/>
      <c r="C77" s="14"/>
      <c r="D77" s="14"/>
      <c r="E77" s="21">
        <f>SUM(E73:E76)</f>
        <v>23200</v>
      </c>
    </row>
    <row r="79" spans="1:5" x14ac:dyDescent="0.3">
      <c r="A79" s="18" t="s">
        <v>58</v>
      </c>
      <c r="B79" s="19" t="s">
        <v>2</v>
      </c>
      <c r="C79" s="19" t="s">
        <v>102</v>
      </c>
      <c r="D79" s="19" t="s">
        <v>26</v>
      </c>
      <c r="E79" s="19" t="s">
        <v>103</v>
      </c>
    </row>
    <row r="80" spans="1:5" x14ac:dyDescent="0.3">
      <c r="A80" t="s">
        <v>59</v>
      </c>
      <c r="B80" t="s">
        <v>31</v>
      </c>
      <c r="C80" s="1">
        <v>150</v>
      </c>
      <c r="D80" s="1">
        <v>1924</v>
      </c>
      <c r="E80" s="7">
        <f>+C80*D80</f>
        <v>288600</v>
      </c>
    </row>
    <row r="81" spans="1:5" x14ac:dyDescent="0.3">
      <c r="A81" t="s">
        <v>60</v>
      </c>
      <c r="B81" t="s">
        <v>31</v>
      </c>
      <c r="C81" s="1"/>
    </row>
    <row r="82" spans="1:5" x14ac:dyDescent="0.3">
      <c r="A82" t="s">
        <v>61</v>
      </c>
      <c r="B82" t="s">
        <v>31</v>
      </c>
      <c r="C82" s="1">
        <v>3</v>
      </c>
    </row>
    <row r="83" spans="1:5" x14ac:dyDescent="0.3">
      <c r="A83" t="s">
        <v>118</v>
      </c>
      <c r="B83" t="s">
        <v>76</v>
      </c>
      <c r="E83" s="7">
        <f>1817485*5*1/120</f>
        <v>75728.541666666672</v>
      </c>
    </row>
    <row r="84" spans="1:5" x14ac:dyDescent="0.3">
      <c r="A84" t="s">
        <v>62</v>
      </c>
      <c r="E84" s="7"/>
    </row>
    <row r="85" spans="1:5" x14ac:dyDescent="0.3">
      <c r="A85" t="s">
        <v>95</v>
      </c>
      <c r="B85" t="s">
        <v>79</v>
      </c>
      <c r="E85" s="7">
        <f>10*C9</f>
        <v>14500</v>
      </c>
    </row>
    <row r="86" spans="1:5" x14ac:dyDescent="0.3">
      <c r="A86" t="s">
        <v>78</v>
      </c>
      <c r="D86" s="10"/>
      <c r="E86" s="7">
        <f>+'Pozo-Gas Oil-Arrendado'!E86</f>
        <v>50000</v>
      </c>
    </row>
    <row r="87" spans="1:5" x14ac:dyDescent="0.3">
      <c r="A87" t="s">
        <v>107</v>
      </c>
      <c r="E87" s="7">
        <f>15*C9</f>
        <v>21750</v>
      </c>
    </row>
    <row r="89" spans="1:5" x14ac:dyDescent="0.3">
      <c r="A89" s="18" t="s">
        <v>63</v>
      </c>
      <c r="B89" s="14"/>
      <c r="C89" s="14"/>
      <c r="D89" s="14"/>
      <c r="E89" s="20">
        <f>+E35+E38+E42+E57+E69+E77+E80+E81+E82+E83+E84+E85+E86+E87</f>
        <v>1780918.0416666667</v>
      </c>
    </row>
    <row r="91" spans="1:5" x14ac:dyDescent="0.3">
      <c r="A91" s="18" t="s">
        <v>64</v>
      </c>
      <c r="B91" s="19" t="s">
        <v>2</v>
      </c>
      <c r="C91" s="19" t="s">
        <v>102</v>
      </c>
      <c r="D91" s="19" t="s">
        <v>26</v>
      </c>
      <c r="E91" s="19" t="s">
        <v>103</v>
      </c>
    </row>
    <row r="92" spans="1:5" x14ac:dyDescent="0.3">
      <c r="A92" t="s">
        <v>82</v>
      </c>
      <c r="B92" t="s">
        <v>27</v>
      </c>
      <c r="C92" s="1">
        <f>2%*C7</f>
        <v>164</v>
      </c>
      <c r="D92" s="1">
        <f>+C10</f>
        <v>300</v>
      </c>
      <c r="E92" s="7">
        <f>+C92*D92</f>
        <v>49200</v>
      </c>
    </row>
    <row r="93" spans="1:5" x14ac:dyDescent="0.3">
      <c r="A93" t="s">
        <v>75</v>
      </c>
      <c r="B93" t="s">
        <v>27</v>
      </c>
      <c r="C93" s="1">
        <f>1%*C7</f>
        <v>82</v>
      </c>
      <c r="D93" s="1">
        <f>+C10</f>
        <v>300</v>
      </c>
      <c r="E93" s="7">
        <f t="shared" ref="E93:E95" si="6">+C93*D93</f>
        <v>24600</v>
      </c>
    </row>
    <row r="94" spans="1:5" x14ac:dyDescent="0.3">
      <c r="A94" t="s">
        <v>73</v>
      </c>
      <c r="B94" t="s">
        <v>27</v>
      </c>
      <c r="C94" s="1">
        <v>750</v>
      </c>
      <c r="D94" s="1">
        <f>+C10</f>
        <v>300</v>
      </c>
      <c r="E94" s="7">
        <f t="shared" si="6"/>
        <v>225000</v>
      </c>
    </row>
    <row r="95" spans="1:5" x14ac:dyDescent="0.3">
      <c r="A95" t="s">
        <v>74</v>
      </c>
      <c r="B95" t="s">
        <v>27</v>
      </c>
      <c r="C95" s="1">
        <v>1500</v>
      </c>
      <c r="D95" s="1">
        <f>+C10</f>
        <v>300</v>
      </c>
      <c r="E95" s="7">
        <f t="shared" si="6"/>
        <v>450000</v>
      </c>
    </row>
    <row r="96" spans="1:5" x14ac:dyDescent="0.3">
      <c r="C96" s="1"/>
      <c r="D96" s="1"/>
    </row>
    <row r="97" spans="1:7" x14ac:dyDescent="0.3">
      <c r="A97" s="18" t="s">
        <v>121</v>
      </c>
      <c r="B97" s="14"/>
      <c r="C97" s="14"/>
      <c r="D97" s="14"/>
      <c r="E97" s="20">
        <f>SUM(E92:E96)</f>
        <v>748800</v>
      </c>
    </row>
    <row r="98" spans="1:7" x14ac:dyDescent="0.3">
      <c r="E98" s="8"/>
    </row>
    <row r="99" spans="1:7" x14ac:dyDescent="0.3">
      <c r="A99" s="14" t="s">
        <v>65</v>
      </c>
      <c r="B99" s="14"/>
      <c r="C99" s="14"/>
      <c r="D99" s="14"/>
      <c r="E99" s="22">
        <f>+E97+E89</f>
        <v>2529718.041666667</v>
      </c>
    </row>
    <row r="100" spans="1:7" x14ac:dyDescent="0.3">
      <c r="A100" t="s">
        <v>66</v>
      </c>
      <c r="E100" s="6">
        <f>50*C9</f>
        <v>72500</v>
      </c>
    </row>
    <row r="101" spans="1:7" x14ac:dyDescent="0.3">
      <c r="A101" t="s">
        <v>67</v>
      </c>
      <c r="E101" s="7">
        <f>40*C9</f>
        <v>58000</v>
      </c>
    </row>
    <row r="103" spans="1:7" x14ac:dyDescent="0.3">
      <c r="A103" s="18" t="s">
        <v>96</v>
      </c>
      <c r="B103" s="14"/>
      <c r="C103" s="14"/>
      <c r="D103" s="14"/>
      <c r="E103" s="20">
        <f>+E99+E100+E101</f>
        <v>2660218.041666667</v>
      </c>
      <c r="G103">
        <f>+E103/C9</f>
        <v>1834.6331321839082</v>
      </c>
    </row>
    <row r="105" spans="1:7" x14ac:dyDescent="0.3">
      <c r="A105" s="39" t="s">
        <v>68</v>
      </c>
      <c r="B105" s="39"/>
      <c r="C105" s="39"/>
      <c r="D105" s="39"/>
      <c r="E105" s="39"/>
    </row>
    <row r="106" spans="1:7" x14ac:dyDescent="0.3">
      <c r="A106" s="28"/>
      <c r="B106" s="28"/>
      <c r="C106" s="28"/>
      <c r="D106" s="41" t="s">
        <v>70</v>
      </c>
      <c r="E106" s="41"/>
    </row>
    <row r="107" spans="1:7" x14ac:dyDescent="0.3">
      <c r="A107" s="28" t="s">
        <v>69</v>
      </c>
      <c r="B107" s="28"/>
      <c r="C107" s="28"/>
      <c r="D107" s="29">
        <f>+C16-E99</f>
        <v>-380006.04166666698</v>
      </c>
      <c r="E107" s="30">
        <f>+D107/$C$9</f>
        <v>-262.07313218390829</v>
      </c>
    </row>
    <row r="108" spans="1:7" x14ac:dyDescent="0.3">
      <c r="A108" s="28" t="s">
        <v>120</v>
      </c>
      <c r="B108" s="28"/>
      <c r="C108" s="28"/>
      <c r="D108" s="29">
        <f>+D107-E100-E101</f>
        <v>-510506.04166666698</v>
      </c>
      <c r="E108" s="30">
        <f>+D108/$C$9</f>
        <v>-352.07313218390829</v>
      </c>
    </row>
    <row r="109" spans="1:7" x14ac:dyDescent="0.3">
      <c r="A109" s="28" t="s">
        <v>71</v>
      </c>
      <c r="B109" s="28"/>
      <c r="C109" s="28"/>
      <c r="D109" s="37">
        <f>+D108/E99</f>
        <v>-0.2018035343299871</v>
      </c>
      <c r="E109" s="37"/>
    </row>
    <row r="110" spans="1:7" x14ac:dyDescent="0.3">
      <c r="A110" s="28" t="s">
        <v>72</v>
      </c>
      <c r="B110" s="28"/>
      <c r="C110" s="28" t="s">
        <v>87</v>
      </c>
      <c r="D110" s="38">
        <f>+E103/C17</f>
        <v>10147.30714703489</v>
      </c>
      <c r="E110" s="38"/>
    </row>
    <row r="112" spans="1:7" x14ac:dyDescent="0.3">
      <c r="A112" t="s">
        <v>108</v>
      </c>
    </row>
    <row r="113" spans="1:1" x14ac:dyDescent="0.3">
      <c r="A113" t="s">
        <v>110</v>
      </c>
    </row>
    <row r="114" spans="1:1" x14ac:dyDescent="0.3">
      <c r="A114" t="s">
        <v>109</v>
      </c>
    </row>
  </sheetData>
  <mergeCells count="9">
    <mergeCell ref="A1:E1"/>
    <mergeCell ref="D109:E109"/>
    <mergeCell ref="D110:E110"/>
    <mergeCell ref="A2:E2"/>
    <mergeCell ref="A3:E3"/>
    <mergeCell ref="A4:C4"/>
    <mergeCell ref="A19:C19"/>
    <mergeCell ref="A105:E105"/>
    <mergeCell ref="D106:E10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3"/>
  <sheetViews>
    <sheetView tabSelected="1" zoomScale="110" zoomScaleNormal="110" workbookViewId="0">
      <selection activeCell="G8" sqref="G8"/>
    </sheetView>
  </sheetViews>
  <sheetFormatPr baseColWidth="10" defaultColWidth="9.109375" defaultRowHeight="14.4" x14ac:dyDescent="0.3"/>
  <cols>
    <col min="1" max="1" width="49.88671875" bestFit="1" customWidth="1"/>
    <col min="2" max="2" width="10.88671875" bestFit="1" customWidth="1"/>
    <col min="3" max="3" width="12.88671875" bestFit="1" customWidth="1"/>
    <col min="4" max="4" width="13.6640625" bestFit="1" customWidth="1"/>
    <col min="5" max="5" width="14.5546875" customWidth="1"/>
  </cols>
  <sheetData>
    <row r="1" spans="1:5" ht="67.8" customHeight="1" x14ac:dyDescent="0.3">
      <c r="A1" s="33"/>
      <c r="B1" s="33"/>
      <c r="C1" s="33"/>
      <c r="D1" s="33"/>
      <c r="E1" s="33"/>
    </row>
    <row r="2" spans="1:5" ht="15.6" x14ac:dyDescent="0.3">
      <c r="A2" s="34" t="s">
        <v>84</v>
      </c>
      <c r="B2" s="35"/>
      <c r="C2" s="35"/>
      <c r="D2" s="35"/>
      <c r="E2" s="35"/>
    </row>
    <row r="3" spans="1:5" ht="18" x14ac:dyDescent="0.35">
      <c r="A3" s="42" t="s">
        <v>117</v>
      </c>
      <c r="B3" s="42"/>
      <c r="C3" s="42"/>
      <c r="D3" s="42"/>
      <c r="E3" s="42"/>
    </row>
    <row r="4" spans="1:5" x14ac:dyDescent="0.3">
      <c r="A4" s="39" t="s">
        <v>14</v>
      </c>
      <c r="B4" s="39"/>
      <c r="C4" s="39"/>
    </row>
    <row r="6" spans="1:5" x14ac:dyDescent="0.3">
      <c r="A6" s="24" t="s">
        <v>1</v>
      </c>
      <c r="B6" s="25" t="s">
        <v>2</v>
      </c>
      <c r="C6" s="25" t="s">
        <v>3</v>
      </c>
    </row>
    <row r="7" spans="1:5" x14ac:dyDescent="0.3">
      <c r="A7" t="s">
        <v>0</v>
      </c>
      <c r="B7" s="1" t="s">
        <v>87</v>
      </c>
      <c r="C7" s="2">
        <v>8200</v>
      </c>
    </row>
    <row r="8" spans="1:5" x14ac:dyDescent="0.3">
      <c r="A8" t="s">
        <v>86</v>
      </c>
      <c r="B8" s="1" t="s">
        <v>5</v>
      </c>
      <c r="C8" s="3">
        <v>0.20599999999999999</v>
      </c>
    </row>
    <row r="9" spans="1:5" x14ac:dyDescent="0.3">
      <c r="A9" t="s">
        <v>4</v>
      </c>
      <c r="B9" s="1" t="s">
        <v>6</v>
      </c>
      <c r="C9" s="2">
        <v>1450</v>
      </c>
    </row>
    <row r="10" spans="1:5" x14ac:dyDescent="0.3">
      <c r="A10" t="s">
        <v>89</v>
      </c>
      <c r="B10" s="1" t="s">
        <v>7</v>
      </c>
      <c r="C10" s="2">
        <v>300</v>
      </c>
    </row>
    <row r="11" spans="1:5" x14ac:dyDescent="0.3">
      <c r="A11" s="11" t="s">
        <v>12</v>
      </c>
      <c r="B11" s="12" t="s">
        <v>8</v>
      </c>
      <c r="C11" s="13">
        <f>+C7*C10</f>
        <v>2460000</v>
      </c>
    </row>
    <row r="12" spans="1:5" x14ac:dyDescent="0.3">
      <c r="A12" t="s">
        <v>116</v>
      </c>
      <c r="B12" s="1" t="s">
        <v>9</v>
      </c>
      <c r="C12" s="4">
        <v>7.0000000000000007E-2</v>
      </c>
    </row>
    <row r="13" spans="1:5" x14ac:dyDescent="0.3">
      <c r="A13" t="s">
        <v>116</v>
      </c>
      <c r="B13" s="1" t="s">
        <v>8</v>
      </c>
      <c r="C13" s="2">
        <f>+(C7+(C7*10%))*C12*C10</f>
        <v>189420.00000000003</v>
      </c>
    </row>
    <row r="14" spans="1:5" x14ac:dyDescent="0.3">
      <c r="A14" t="s">
        <v>122</v>
      </c>
      <c r="B14" s="1" t="s">
        <v>11</v>
      </c>
      <c r="C14" s="2">
        <v>8850</v>
      </c>
    </row>
    <row r="15" spans="1:5" x14ac:dyDescent="0.3">
      <c r="A15" t="s">
        <v>10</v>
      </c>
      <c r="B15" s="1" t="s">
        <v>8</v>
      </c>
      <c r="C15" s="2">
        <f>+C14*(((C7+(C7*10%))/1000))</f>
        <v>79827</v>
      </c>
    </row>
    <row r="16" spans="1:5" x14ac:dyDescent="0.3">
      <c r="A16" s="11" t="s">
        <v>13</v>
      </c>
      <c r="B16" s="12" t="s">
        <v>8</v>
      </c>
      <c r="C16" s="13">
        <f>+C11-C13-C15</f>
        <v>2190753</v>
      </c>
    </row>
    <row r="17" spans="1:5" x14ac:dyDescent="0.3">
      <c r="A17" t="s">
        <v>104</v>
      </c>
      <c r="B17" s="1" t="s">
        <v>7</v>
      </c>
      <c r="C17" s="5">
        <f>+C16/C7</f>
        <v>267.16500000000002</v>
      </c>
    </row>
    <row r="19" spans="1:5" x14ac:dyDescent="0.3">
      <c r="A19" s="39" t="s">
        <v>15</v>
      </c>
      <c r="B19" s="39"/>
      <c r="C19" s="39"/>
    </row>
    <row r="20" spans="1:5" x14ac:dyDescent="0.3">
      <c r="A20" s="11" t="s">
        <v>1</v>
      </c>
      <c r="B20" s="12" t="s">
        <v>2</v>
      </c>
      <c r="C20" s="11" t="s">
        <v>3</v>
      </c>
    </row>
    <row r="21" spans="1:5" x14ac:dyDescent="0.3">
      <c r="A21" s="23" t="s">
        <v>16</v>
      </c>
      <c r="B21" s="26" t="s">
        <v>8</v>
      </c>
      <c r="C21" s="23">
        <v>62000</v>
      </c>
    </row>
    <row r="22" spans="1:5" x14ac:dyDescent="0.3">
      <c r="A22" s="14" t="s">
        <v>17</v>
      </c>
      <c r="B22" s="15" t="s">
        <v>100</v>
      </c>
      <c r="C22" s="14" t="s">
        <v>19</v>
      </c>
      <c r="D22" s="15" t="s">
        <v>20</v>
      </c>
      <c r="E22" s="14" t="s">
        <v>101</v>
      </c>
    </row>
    <row r="23" spans="1:5" x14ac:dyDescent="0.3">
      <c r="A23" t="s">
        <v>18</v>
      </c>
      <c r="B23" s="1">
        <v>2</v>
      </c>
      <c r="C23" s="1">
        <v>1</v>
      </c>
      <c r="D23" s="1">
        <f>+$C$21</f>
        <v>62000</v>
      </c>
      <c r="E23" s="6">
        <f>+B23*C23*D23</f>
        <v>124000</v>
      </c>
    </row>
    <row r="24" spans="1:5" x14ac:dyDescent="0.3">
      <c r="A24" t="s">
        <v>91</v>
      </c>
      <c r="B24" s="1">
        <v>2</v>
      </c>
      <c r="C24" s="1">
        <v>0.6</v>
      </c>
      <c r="D24" s="1">
        <f t="shared" ref="D24:D33" si="0">+$C$21</f>
        <v>62000</v>
      </c>
      <c r="E24" s="6">
        <f>+B24*C24*D24</f>
        <v>74400</v>
      </c>
    </row>
    <row r="25" spans="1:5" x14ac:dyDescent="0.3">
      <c r="A25" t="s">
        <v>92</v>
      </c>
      <c r="B25" s="1">
        <v>1</v>
      </c>
      <c r="C25" s="1">
        <v>0.25</v>
      </c>
      <c r="D25" s="1">
        <f t="shared" si="0"/>
        <v>62000</v>
      </c>
      <c r="E25" s="6">
        <f>+B25*C25*D25</f>
        <v>15500</v>
      </c>
    </row>
    <row r="26" spans="1:5" x14ac:dyDescent="0.3">
      <c r="A26" t="s">
        <v>23</v>
      </c>
      <c r="B26" s="1">
        <v>2</v>
      </c>
      <c r="C26" s="1">
        <v>0.3</v>
      </c>
      <c r="D26" s="1">
        <f t="shared" si="0"/>
        <v>62000</v>
      </c>
      <c r="E26" s="6">
        <f t="shared" ref="E26:E33" si="1">+B26*C26*D26</f>
        <v>37200</v>
      </c>
    </row>
    <row r="27" spans="1:5" x14ac:dyDescent="0.3">
      <c r="A27" t="s">
        <v>21</v>
      </c>
      <c r="B27" s="1">
        <v>1</v>
      </c>
      <c r="C27" s="1">
        <v>1</v>
      </c>
      <c r="D27" s="1">
        <f t="shared" si="0"/>
        <v>62000</v>
      </c>
      <c r="E27" s="6">
        <f t="shared" si="1"/>
        <v>62000</v>
      </c>
    </row>
    <row r="28" spans="1:5" x14ac:dyDescent="0.3">
      <c r="A28" t="s">
        <v>112</v>
      </c>
      <c r="B28" s="1">
        <v>1</v>
      </c>
      <c r="C28" s="1">
        <v>1</v>
      </c>
      <c r="D28" s="1">
        <f t="shared" si="0"/>
        <v>62000</v>
      </c>
      <c r="E28" s="6">
        <f t="shared" si="1"/>
        <v>62000</v>
      </c>
    </row>
    <row r="29" spans="1:5" x14ac:dyDescent="0.3">
      <c r="A29" t="s">
        <v>93</v>
      </c>
      <c r="B29" s="1">
        <v>2</v>
      </c>
      <c r="C29" s="1">
        <v>0.3</v>
      </c>
      <c r="D29" s="1">
        <f t="shared" si="0"/>
        <v>62000</v>
      </c>
      <c r="E29" s="6">
        <f t="shared" si="1"/>
        <v>37200</v>
      </c>
    </row>
    <row r="30" spans="1:5" x14ac:dyDescent="0.3">
      <c r="A30" t="s">
        <v>94</v>
      </c>
      <c r="B30" s="1">
        <v>1</v>
      </c>
      <c r="C30" s="1">
        <v>0.3</v>
      </c>
      <c r="D30" s="1">
        <f t="shared" si="0"/>
        <v>62000</v>
      </c>
      <c r="E30" s="6">
        <f t="shared" si="1"/>
        <v>18600</v>
      </c>
    </row>
    <row r="31" spans="1:5" x14ac:dyDescent="0.3">
      <c r="A31" t="s">
        <v>113</v>
      </c>
      <c r="B31" s="1">
        <v>1</v>
      </c>
      <c r="C31" s="1">
        <v>0.6</v>
      </c>
      <c r="D31" s="1">
        <f t="shared" si="0"/>
        <v>62000</v>
      </c>
      <c r="E31" s="6">
        <f t="shared" si="1"/>
        <v>37200</v>
      </c>
    </row>
    <row r="32" spans="1:5" x14ac:dyDescent="0.3">
      <c r="A32" t="s">
        <v>114</v>
      </c>
      <c r="B32" s="1">
        <v>1</v>
      </c>
      <c r="C32" s="1">
        <v>0.25</v>
      </c>
      <c r="D32" s="1">
        <f t="shared" si="0"/>
        <v>62000</v>
      </c>
      <c r="E32" s="6">
        <f t="shared" si="1"/>
        <v>15500</v>
      </c>
    </row>
    <row r="33" spans="1:5" x14ac:dyDescent="0.3">
      <c r="A33" t="s">
        <v>22</v>
      </c>
      <c r="B33" s="1">
        <v>2</v>
      </c>
      <c r="C33" s="1">
        <v>0.3</v>
      </c>
      <c r="D33" s="1">
        <f t="shared" si="0"/>
        <v>62000</v>
      </c>
      <c r="E33" s="6">
        <f t="shared" si="1"/>
        <v>37200</v>
      </c>
    </row>
    <row r="35" spans="1:5" x14ac:dyDescent="0.3">
      <c r="A35" s="14" t="s">
        <v>24</v>
      </c>
      <c r="B35" s="14"/>
      <c r="C35" s="14"/>
      <c r="D35" s="14"/>
      <c r="E35" s="16">
        <f>SUM(E23:E34)</f>
        <v>520800</v>
      </c>
    </row>
    <row r="37" spans="1:5" x14ac:dyDescent="0.3">
      <c r="A37" s="14" t="s">
        <v>25</v>
      </c>
      <c r="B37" s="15" t="s">
        <v>2</v>
      </c>
      <c r="C37" s="15" t="s">
        <v>102</v>
      </c>
      <c r="D37" s="15" t="s">
        <v>26</v>
      </c>
      <c r="E37" s="15" t="s">
        <v>103</v>
      </c>
    </row>
    <row r="38" spans="1:5" x14ac:dyDescent="0.3">
      <c r="A38" t="s">
        <v>115</v>
      </c>
      <c r="B38" t="s">
        <v>27</v>
      </c>
      <c r="C38" s="1">
        <v>130</v>
      </c>
      <c r="D38" s="1">
        <f>+C10*2</f>
        <v>600</v>
      </c>
      <c r="E38" s="7">
        <f>+C38*D38</f>
        <v>78000</v>
      </c>
    </row>
    <row r="39" spans="1:5" x14ac:dyDescent="0.3">
      <c r="A39" s="14" t="s">
        <v>28</v>
      </c>
      <c r="B39" s="14"/>
      <c r="C39" s="14"/>
      <c r="D39" s="14"/>
      <c r="E39" s="14"/>
    </row>
    <row r="41" spans="1:5" x14ac:dyDescent="0.3">
      <c r="A41" t="s">
        <v>29</v>
      </c>
      <c r="B41" t="s">
        <v>31</v>
      </c>
      <c r="C41" s="1">
        <v>0.2</v>
      </c>
      <c r="D41" s="1">
        <v>7</v>
      </c>
      <c r="E41" s="7">
        <f>+C41*D41*$C$9</f>
        <v>2030.0000000000002</v>
      </c>
    </row>
    <row r="42" spans="1:5" x14ac:dyDescent="0.3">
      <c r="A42" t="s">
        <v>30</v>
      </c>
      <c r="B42" t="s">
        <v>31</v>
      </c>
      <c r="C42" s="1">
        <v>0.3</v>
      </c>
      <c r="D42" s="1">
        <v>15</v>
      </c>
      <c r="E42" s="7">
        <f>+C42*D42*$C$9</f>
        <v>6525</v>
      </c>
    </row>
    <row r="43" spans="1:5" x14ac:dyDescent="0.3">
      <c r="A43" s="14" t="s">
        <v>33</v>
      </c>
      <c r="B43" s="14"/>
      <c r="C43" s="14"/>
      <c r="D43" s="14"/>
      <c r="E43" s="17">
        <f>+E41+E42</f>
        <v>8555</v>
      </c>
    </row>
    <row r="45" spans="1:5" x14ac:dyDescent="0.3">
      <c r="A45" s="18" t="s">
        <v>32</v>
      </c>
      <c r="B45" s="19" t="s">
        <v>2</v>
      </c>
      <c r="C45" s="19" t="s">
        <v>102</v>
      </c>
      <c r="D45" s="19" t="s">
        <v>26</v>
      </c>
      <c r="E45" s="19" t="s">
        <v>103</v>
      </c>
    </row>
    <row r="46" spans="1:5" x14ac:dyDescent="0.3">
      <c r="A46" t="s">
        <v>34</v>
      </c>
      <c r="B46" t="s">
        <v>31</v>
      </c>
      <c r="E46" s="7">
        <f>+C46*D46*$C$9</f>
        <v>0</v>
      </c>
    </row>
    <row r="47" spans="1:5" x14ac:dyDescent="0.3">
      <c r="A47" t="s">
        <v>35</v>
      </c>
      <c r="B47" t="s">
        <v>31</v>
      </c>
      <c r="E47" s="7">
        <f t="shared" ref="E47:E57" si="2">+C47*D47*$C$9</f>
        <v>0</v>
      </c>
    </row>
    <row r="48" spans="1:5" x14ac:dyDescent="0.3">
      <c r="A48" t="s">
        <v>36</v>
      </c>
      <c r="B48" t="s">
        <v>31</v>
      </c>
      <c r="C48" s="1">
        <v>1.2</v>
      </c>
      <c r="D48" s="9">
        <v>30</v>
      </c>
      <c r="E48" s="7">
        <f t="shared" si="2"/>
        <v>52200</v>
      </c>
    </row>
    <row r="49" spans="1:5" x14ac:dyDescent="0.3">
      <c r="A49" t="s">
        <v>37</v>
      </c>
      <c r="B49" t="s">
        <v>31</v>
      </c>
      <c r="C49" s="1">
        <v>5</v>
      </c>
      <c r="D49" s="1">
        <v>4.5</v>
      </c>
      <c r="E49" s="7">
        <f t="shared" si="2"/>
        <v>32625</v>
      </c>
    </row>
    <row r="50" spans="1:5" x14ac:dyDescent="0.3">
      <c r="A50" t="s">
        <v>38</v>
      </c>
      <c r="B50" t="s">
        <v>27</v>
      </c>
      <c r="C50" s="1"/>
      <c r="E50" s="7">
        <f t="shared" si="2"/>
        <v>0</v>
      </c>
    </row>
    <row r="51" spans="1:5" x14ac:dyDescent="0.3">
      <c r="A51" t="s">
        <v>39</v>
      </c>
      <c r="B51" t="s">
        <v>31</v>
      </c>
      <c r="C51" s="1">
        <v>0.7</v>
      </c>
      <c r="D51" s="1">
        <v>14</v>
      </c>
      <c r="E51" s="7">
        <f t="shared" si="2"/>
        <v>14209.999999999998</v>
      </c>
    </row>
    <row r="52" spans="1:5" x14ac:dyDescent="0.3">
      <c r="A52" t="s">
        <v>40</v>
      </c>
      <c r="B52" t="s">
        <v>31</v>
      </c>
      <c r="C52" s="1">
        <v>0.5</v>
      </c>
      <c r="D52" s="1">
        <v>12</v>
      </c>
      <c r="E52" s="7">
        <f t="shared" si="2"/>
        <v>8700</v>
      </c>
    </row>
    <row r="53" spans="1:5" x14ac:dyDescent="0.3">
      <c r="A53" t="s">
        <v>41</v>
      </c>
      <c r="B53" t="s">
        <v>31</v>
      </c>
      <c r="C53" s="1">
        <v>2.8</v>
      </c>
      <c r="D53" s="1">
        <v>18</v>
      </c>
      <c r="E53" s="7">
        <f>+C53*D53*$C$9*0.4</f>
        <v>29232</v>
      </c>
    </row>
    <row r="54" spans="1:5" x14ac:dyDescent="0.3">
      <c r="A54" t="s">
        <v>42</v>
      </c>
      <c r="B54" t="s">
        <v>31</v>
      </c>
      <c r="C54" s="1">
        <v>0.65</v>
      </c>
      <c r="D54" s="1">
        <v>51</v>
      </c>
      <c r="E54" s="7">
        <f t="shared" si="2"/>
        <v>48067.5</v>
      </c>
    </row>
    <row r="55" spans="1:5" x14ac:dyDescent="0.3">
      <c r="A55" t="s">
        <v>43</v>
      </c>
      <c r="B55" t="s">
        <v>31</v>
      </c>
      <c r="C55" s="1">
        <v>1.5</v>
      </c>
      <c r="D55" s="1">
        <v>25</v>
      </c>
      <c r="E55" s="7">
        <f t="shared" si="2"/>
        <v>54375</v>
      </c>
    </row>
    <row r="56" spans="1:5" x14ac:dyDescent="0.3">
      <c r="A56" t="s">
        <v>44</v>
      </c>
      <c r="B56" t="s">
        <v>31</v>
      </c>
      <c r="C56" s="1">
        <v>0.6</v>
      </c>
      <c r="D56" s="1">
        <v>20</v>
      </c>
      <c r="E56" s="7">
        <f t="shared" si="2"/>
        <v>17400</v>
      </c>
    </row>
    <row r="57" spans="1:5" x14ac:dyDescent="0.3">
      <c r="A57" t="s">
        <v>45</v>
      </c>
      <c r="B57" t="s">
        <v>31</v>
      </c>
      <c r="C57" s="1">
        <v>0.15</v>
      </c>
      <c r="D57" s="1">
        <v>10</v>
      </c>
      <c r="E57" s="7">
        <f t="shared" si="2"/>
        <v>2175</v>
      </c>
    </row>
    <row r="59" spans="1:5" x14ac:dyDescent="0.3">
      <c r="A59" s="18" t="s">
        <v>46</v>
      </c>
      <c r="B59" s="14"/>
      <c r="C59" s="14"/>
      <c r="D59" s="14"/>
      <c r="E59" s="20">
        <f>SUM(E46:E58)</f>
        <v>258984.5</v>
      </c>
    </row>
    <row r="62" spans="1:5" x14ac:dyDescent="0.3">
      <c r="A62" s="18" t="s">
        <v>47</v>
      </c>
      <c r="B62" s="19" t="s">
        <v>2</v>
      </c>
      <c r="C62" s="19" t="s">
        <v>102</v>
      </c>
      <c r="D62" s="19" t="s">
        <v>26</v>
      </c>
      <c r="E62" s="19" t="s">
        <v>103</v>
      </c>
    </row>
    <row r="63" spans="1:5" x14ac:dyDescent="0.3">
      <c r="A63" t="s">
        <v>48</v>
      </c>
      <c r="B63" t="s">
        <v>27</v>
      </c>
      <c r="C63" s="1"/>
      <c r="E63" s="7">
        <f t="shared" ref="E63:E64" si="3">+C63*D63*$C$9</f>
        <v>0</v>
      </c>
    </row>
    <row r="64" spans="1:5" x14ac:dyDescent="0.3">
      <c r="A64" t="s">
        <v>105</v>
      </c>
      <c r="B64" t="s">
        <v>27</v>
      </c>
      <c r="C64" s="1"/>
      <c r="E64" s="7">
        <f t="shared" si="3"/>
        <v>0</v>
      </c>
    </row>
    <row r="65" spans="1:5" x14ac:dyDescent="0.3">
      <c r="A65" t="s">
        <v>49</v>
      </c>
      <c r="B65" t="s">
        <v>27</v>
      </c>
      <c r="C65" s="1">
        <v>100</v>
      </c>
      <c r="D65" s="1">
        <v>0.9</v>
      </c>
      <c r="E65" s="7">
        <f>+C65*D65*$C$9</f>
        <v>130500</v>
      </c>
    </row>
    <row r="66" spans="1:5" x14ac:dyDescent="0.3">
      <c r="A66" t="s">
        <v>50</v>
      </c>
      <c r="B66" t="s">
        <v>27</v>
      </c>
      <c r="C66" s="1"/>
      <c r="D66" s="1"/>
      <c r="E66" s="7">
        <f t="shared" ref="E66:E68" si="4">+C66*D66*$C$9</f>
        <v>0</v>
      </c>
    </row>
    <row r="67" spans="1:5" x14ac:dyDescent="0.3">
      <c r="A67" t="s">
        <v>51</v>
      </c>
      <c r="B67" t="s">
        <v>27</v>
      </c>
      <c r="C67" s="1"/>
      <c r="D67" s="1"/>
      <c r="E67" s="7">
        <f t="shared" si="4"/>
        <v>0</v>
      </c>
    </row>
    <row r="68" spans="1:5" x14ac:dyDescent="0.3">
      <c r="A68" t="s">
        <v>52</v>
      </c>
      <c r="B68" t="s">
        <v>31</v>
      </c>
      <c r="C68" s="1">
        <v>0.7</v>
      </c>
      <c r="D68" s="1">
        <v>20</v>
      </c>
      <c r="E68" s="7">
        <f t="shared" si="4"/>
        <v>20300</v>
      </c>
    </row>
    <row r="69" spans="1:5" x14ac:dyDescent="0.3">
      <c r="A69" t="s">
        <v>53</v>
      </c>
      <c r="B69" t="s">
        <v>27</v>
      </c>
      <c r="C69" s="1">
        <v>200</v>
      </c>
      <c r="D69" s="1">
        <v>1</v>
      </c>
      <c r="E69" s="7">
        <f>+C69*D69*$C$9</f>
        <v>290000</v>
      </c>
    </row>
    <row r="71" spans="1:5" x14ac:dyDescent="0.3">
      <c r="A71" s="18" t="s">
        <v>119</v>
      </c>
      <c r="B71" s="14"/>
      <c r="C71" s="14"/>
      <c r="D71" s="14"/>
      <c r="E71" s="20">
        <f>SUM(E63:E70)</f>
        <v>440800</v>
      </c>
    </row>
    <row r="73" spans="1:5" x14ac:dyDescent="0.3">
      <c r="B73" s="11"/>
      <c r="C73" s="11"/>
      <c r="D73" s="11"/>
      <c r="E73" s="11"/>
    </row>
    <row r="74" spans="1:5" x14ac:dyDescent="0.3">
      <c r="A74" s="18" t="s">
        <v>54</v>
      </c>
      <c r="B74" s="19" t="s">
        <v>2</v>
      </c>
      <c r="C74" s="19" t="s">
        <v>102</v>
      </c>
      <c r="D74" s="19" t="s">
        <v>26</v>
      </c>
      <c r="E74" s="19" t="s">
        <v>103</v>
      </c>
    </row>
    <row r="75" spans="1:5" x14ac:dyDescent="0.3">
      <c r="A75" t="s">
        <v>55</v>
      </c>
      <c r="B75" t="s">
        <v>31</v>
      </c>
      <c r="C75" s="1">
        <v>0.8</v>
      </c>
      <c r="D75" s="1">
        <v>20</v>
      </c>
      <c r="E75" s="7">
        <f>+C75*D75*$C$9</f>
        <v>23200</v>
      </c>
    </row>
    <row r="76" spans="1:5" x14ac:dyDescent="0.3">
      <c r="A76" t="s">
        <v>56</v>
      </c>
      <c r="B76" t="s">
        <v>31</v>
      </c>
      <c r="E76" s="7">
        <f t="shared" ref="E76:E77" si="5">+C76*D76*$C$9</f>
        <v>0</v>
      </c>
    </row>
    <row r="77" spans="1:5" x14ac:dyDescent="0.3">
      <c r="A77" t="s">
        <v>57</v>
      </c>
      <c r="B77" t="s">
        <v>31</v>
      </c>
      <c r="E77" s="7">
        <f t="shared" si="5"/>
        <v>0</v>
      </c>
    </row>
    <row r="79" spans="1:5" x14ac:dyDescent="0.3">
      <c r="A79" s="18" t="s">
        <v>77</v>
      </c>
      <c r="B79" s="14"/>
      <c r="C79" s="14"/>
      <c r="D79" s="14"/>
      <c r="E79" s="21">
        <f>SUM(E75:E78)</f>
        <v>23200</v>
      </c>
    </row>
    <row r="81" spans="1:5" x14ac:dyDescent="0.3">
      <c r="A81" s="18" t="s">
        <v>58</v>
      </c>
      <c r="B81" s="19" t="s">
        <v>2</v>
      </c>
      <c r="C81" s="19" t="s">
        <v>102</v>
      </c>
      <c r="D81" s="19" t="s">
        <v>26</v>
      </c>
      <c r="E81" s="19" t="s">
        <v>103</v>
      </c>
    </row>
    <row r="82" spans="1:5" x14ac:dyDescent="0.3">
      <c r="A82" t="s">
        <v>80</v>
      </c>
      <c r="B82" t="s">
        <v>81</v>
      </c>
      <c r="C82" s="1">
        <v>1500</v>
      </c>
      <c r="D82" s="1">
        <v>310</v>
      </c>
      <c r="E82" s="7">
        <f>+C82*D82</f>
        <v>465000</v>
      </c>
    </row>
    <row r="83" spans="1:5" x14ac:dyDescent="0.3">
      <c r="A83" t="s">
        <v>118</v>
      </c>
      <c r="B83" t="s">
        <v>76</v>
      </c>
      <c r="E83" s="7">
        <f>+'Pozo-Gas Oil-Arrendado'!E83</f>
        <v>113592.8125</v>
      </c>
    </row>
    <row r="84" spans="1:5" x14ac:dyDescent="0.3">
      <c r="A84" t="s">
        <v>62</v>
      </c>
      <c r="E84" s="7"/>
    </row>
    <row r="85" spans="1:5" x14ac:dyDescent="0.3">
      <c r="A85" t="s">
        <v>95</v>
      </c>
      <c r="B85" t="s">
        <v>79</v>
      </c>
      <c r="E85" s="7">
        <f>10*C9</f>
        <v>14500</v>
      </c>
    </row>
    <row r="86" spans="1:5" x14ac:dyDescent="0.3">
      <c r="A86" t="s">
        <v>78</v>
      </c>
      <c r="D86" s="10"/>
      <c r="E86" s="7">
        <f>+'Pozo-Gas Oil-Arrendado'!E86</f>
        <v>50000</v>
      </c>
    </row>
    <row r="88" spans="1:5" x14ac:dyDescent="0.3">
      <c r="A88" s="18" t="s">
        <v>63</v>
      </c>
      <c r="B88" s="14"/>
      <c r="C88" s="14"/>
      <c r="D88" s="14"/>
      <c r="E88" s="20">
        <f>+E35+E38+E43+E59+E71+E79+E82+E83+E84+E85+E86+E87</f>
        <v>1973432.3125</v>
      </c>
    </row>
    <row r="90" spans="1:5" x14ac:dyDescent="0.3">
      <c r="A90" s="18" t="s">
        <v>64</v>
      </c>
      <c r="B90" s="19" t="s">
        <v>2</v>
      </c>
      <c r="C90" s="19" t="s">
        <v>102</v>
      </c>
      <c r="D90" s="19" t="s">
        <v>26</v>
      </c>
      <c r="E90" s="19" t="s">
        <v>103</v>
      </c>
    </row>
    <row r="91" spans="1:5" x14ac:dyDescent="0.3">
      <c r="A91" t="s">
        <v>82</v>
      </c>
      <c r="B91" t="s">
        <v>27</v>
      </c>
      <c r="C91" s="1">
        <f>2.5%*C7</f>
        <v>205</v>
      </c>
      <c r="D91" s="1">
        <f>+C10</f>
        <v>300</v>
      </c>
      <c r="E91" s="7">
        <f>+C91*D91</f>
        <v>61500</v>
      </c>
    </row>
    <row r="92" spans="1:5" x14ac:dyDescent="0.3">
      <c r="A92" t="s">
        <v>75</v>
      </c>
      <c r="B92" t="s">
        <v>27</v>
      </c>
      <c r="C92" s="1">
        <f>1%*C7</f>
        <v>82</v>
      </c>
      <c r="D92" s="1">
        <f>+C10</f>
        <v>300</v>
      </c>
      <c r="E92" s="7">
        <f t="shared" ref="E92:E94" si="6">+C92*D92</f>
        <v>24600</v>
      </c>
    </row>
    <row r="93" spans="1:5" x14ac:dyDescent="0.3">
      <c r="A93" t="s">
        <v>73</v>
      </c>
      <c r="B93" t="s">
        <v>27</v>
      </c>
      <c r="C93" s="1">
        <v>750</v>
      </c>
      <c r="D93" s="1">
        <f>+C10</f>
        <v>300</v>
      </c>
      <c r="E93" s="7">
        <f t="shared" si="6"/>
        <v>225000</v>
      </c>
    </row>
    <row r="94" spans="1:5" x14ac:dyDescent="0.3">
      <c r="A94" t="s">
        <v>74</v>
      </c>
      <c r="B94" t="s">
        <v>27</v>
      </c>
      <c r="C94" s="1">
        <v>1000</v>
      </c>
      <c r="D94" s="1">
        <f>+C10</f>
        <v>300</v>
      </c>
      <c r="E94" s="7">
        <f t="shared" si="6"/>
        <v>300000</v>
      </c>
    </row>
    <row r="95" spans="1:5" x14ac:dyDescent="0.3">
      <c r="C95" s="1"/>
      <c r="D95" s="1"/>
    </row>
    <row r="96" spans="1:5" x14ac:dyDescent="0.3">
      <c r="A96" s="18" t="s">
        <v>121</v>
      </c>
      <c r="B96" s="14"/>
      <c r="C96" s="14"/>
      <c r="D96" s="14"/>
      <c r="E96" s="20">
        <f>SUM(E91:E95)</f>
        <v>611100</v>
      </c>
    </row>
    <row r="97" spans="1:7" x14ac:dyDescent="0.3">
      <c r="E97" s="8"/>
    </row>
    <row r="98" spans="1:7" x14ac:dyDescent="0.3">
      <c r="A98" s="14" t="s">
        <v>65</v>
      </c>
      <c r="B98" s="14"/>
      <c r="C98" s="14"/>
      <c r="D98" s="14"/>
      <c r="E98" s="22">
        <f>+E96+E88</f>
        <v>2584532.3125</v>
      </c>
    </row>
    <row r="99" spans="1:7" x14ac:dyDescent="0.3">
      <c r="A99" t="s">
        <v>66</v>
      </c>
      <c r="E99" s="6">
        <f>50*C9</f>
        <v>72500</v>
      </c>
    </row>
    <row r="100" spans="1:7" x14ac:dyDescent="0.3">
      <c r="A100" t="s">
        <v>67</v>
      </c>
      <c r="E100" s="7">
        <f>30*C9</f>
        <v>43500</v>
      </c>
    </row>
    <row r="102" spans="1:7" x14ac:dyDescent="0.3">
      <c r="A102" s="18" t="s">
        <v>96</v>
      </c>
      <c r="B102" s="14"/>
      <c r="C102" s="14"/>
      <c r="D102" s="14"/>
      <c r="E102" s="20">
        <f>+E98+E99+E100</f>
        <v>2700532.3125</v>
      </c>
      <c r="G102">
        <f>+E102/C9</f>
        <v>1862.4360775862069</v>
      </c>
    </row>
    <row r="104" spans="1:7" x14ac:dyDescent="0.3">
      <c r="A104" s="40" t="s">
        <v>97</v>
      </c>
      <c r="B104" s="40"/>
      <c r="C104" s="40"/>
      <c r="D104" s="40"/>
      <c r="E104" s="40"/>
      <c r="F104" t="s">
        <v>83</v>
      </c>
    </row>
    <row r="105" spans="1:7" x14ac:dyDescent="0.3">
      <c r="A105" s="31"/>
      <c r="B105" s="31"/>
      <c r="C105" s="31"/>
      <c r="D105" s="41" t="s">
        <v>70</v>
      </c>
      <c r="E105" s="41"/>
    </row>
    <row r="106" spans="1:7" x14ac:dyDescent="0.3">
      <c r="A106" s="31" t="s">
        <v>69</v>
      </c>
      <c r="B106" s="31"/>
      <c r="C106" s="31"/>
      <c r="D106" s="29">
        <f>+C16-E98</f>
        <v>-393779.3125</v>
      </c>
      <c r="E106" s="30">
        <f>+D106/$C$9</f>
        <v>-271.5719396551724</v>
      </c>
    </row>
    <row r="107" spans="1:7" x14ac:dyDescent="0.3">
      <c r="A107" s="31" t="s">
        <v>120</v>
      </c>
      <c r="B107" s="31"/>
      <c r="C107" s="31"/>
      <c r="D107" s="29">
        <f>+D106-E99-E100</f>
        <v>-509779.3125</v>
      </c>
      <c r="E107" s="30">
        <f>+D107/$C$9</f>
        <v>-351.5719396551724</v>
      </c>
    </row>
    <row r="108" spans="1:7" x14ac:dyDescent="0.3">
      <c r="A108" s="31" t="s">
        <v>71</v>
      </c>
      <c r="B108" s="31"/>
      <c r="C108" s="31"/>
      <c r="D108" s="37">
        <f>+D107/E98</f>
        <v>-0.19724238309363371</v>
      </c>
      <c r="E108" s="37"/>
    </row>
    <row r="109" spans="1:7" x14ac:dyDescent="0.3">
      <c r="A109" s="31" t="s">
        <v>72</v>
      </c>
      <c r="B109" s="31"/>
      <c r="C109" s="31" t="s">
        <v>87</v>
      </c>
      <c r="D109" s="38">
        <f>+E102/C17</f>
        <v>10108.106647577339</v>
      </c>
      <c r="E109" s="38"/>
    </row>
    <row r="111" spans="1:7" x14ac:dyDescent="0.3">
      <c r="A111" t="s">
        <v>108</v>
      </c>
    </row>
    <row r="112" spans="1:7" x14ac:dyDescent="0.3">
      <c r="A112" t="s">
        <v>110</v>
      </c>
    </row>
    <row r="113" spans="1:1" x14ac:dyDescent="0.3">
      <c r="A113" t="s">
        <v>109</v>
      </c>
    </row>
  </sheetData>
  <mergeCells count="9">
    <mergeCell ref="A1:E1"/>
    <mergeCell ref="A2:E2"/>
    <mergeCell ref="A3:E3"/>
    <mergeCell ref="D108:E108"/>
    <mergeCell ref="D109:E109"/>
    <mergeCell ref="A4:C4"/>
    <mergeCell ref="A19:C19"/>
    <mergeCell ref="A104:E104"/>
    <mergeCell ref="D105:E10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Pozo-Gas Oil-Arrendado</vt:lpstr>
      <vt:lpstr>Represa-Gas Oil-Arrendado</vt:lpstr>
      <vt:lpstr>Pozo-Eléctrico-Arrendado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2026-05-15T12:02:04Z</dcterms:modified>
</cp:coreProperties>
</file>