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490" windowHeight="7755"/>
  </bookViews>
  <sheets>
    <sheet name="Pozo Gasoil" sheetId="1" r:id="rId1"/>
    <sheet name="Pozo Eléctrico" sheetId="2" r:id="rId2"/>
    <sheet name="Represa" sheetId="3" r:id="rId3"/>
  </sheets>
  <calcPr calcId="15251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8" i="3"/>
  <c r="F97"/>
  <c r="F91"/>
  <c r="F88"/>
  <c r="F86"/>
  <c r="E85"/>
  <c r="F85" s="1"/>
  <c r="E84"/>
  <c r="F84" s="1"/>
  <c r="F83"/>
  <c r="F82"/>
  <c r="E82"/>
  <c r="E81"/>
  <c r="F81" s="1"/>
  <c r="F78"/>
  <c r="F77"/>
  <c r="F76"/>
  <c r="F75"/>
  <c r="E74"/>
  <c r="F74" s="1"/>
  <c r="F79" s="1"/>
  <c r="F71"/>
  <c r="F70"/>
  <c r="F69"/>
  <c r="F68"/>
  <c r="F67"/>
  <c r="E67"/>
  <c r="E66"/>
  <c r="F66" s="1"/>
  <c r="F65"/>
  <c r="F64"/>
  <c r="E63"/>
  <c r="F63" s="1"/>
  <c r="F62"/>
  <c r="E62"/>
  <c r="F61"/>
  <c r="F58"/>
  <c r="F57"/>
  <c r="F56"/>
  <c r="F55"/>
  <c r="F54"/>
  <c r="F53"/>
  <c r="F52"/>
  <c r="E51"/>
  <c r="F51" s="1"/>
  <c r="E50"/>
  <c r="F50" s="1"/>
  <c r="F49"/>
  <c r="F48"/>
  <c r="F47"/>
  <c r="F44"/>
  <c r="F43"/>
  <c r="E42"/>
  <c r="D42"/>
  <c r="F42" s="1"/>
  <c r="F41"/>
  <c r="F45" s="1"/>
  <c r="E41"/>
  <c r="D41"/>
  <c r="F39"/>
  <c r="F35"/>
  <c r="F34"/>
  <c r="F33"/>
  <c r="F32"/>
  <c r="E32"/>
  <c r="E31"/>
  <c r="F31" s="1"/>
  <c r="F30"/>
  <c r="E30"/>
  <c r="E29"/>
  <c r="F29" s="1"/>
  <c r="F28"/>
  <c r="F27"/>
  <c r="F26"/>
  <c r="F25"/>
  <c r="F24"/>
  <c r="F36" s="1"/>
  <c r="F23"/>
  <c r="E15"/>
  <c r="E12"/>
  <c r="F89" s="1"/>
  <c r="E11"/>
  <c r="F87" s="1"/>
  <c r="E8"/>
  <c r="F98" i="2"/>
  <c r="F97"/>
  <c r="F95"/>
  <c r="F102" s="1"/>
  <c r="F91"/>
  <c r="F89"/>
  <c r="F88"/>
  <c r="F87"/>
  <c r="E86"/>
  <c r="F86" s="1"/>
  <c r="F85"/>
  <c r="E85"/>
  <c r="F84"/>
  <c r="F81"/>
  <c r="F77"/>
  <c r="F76"/>
  <c r="F75"/>
  <c r="F74"/>
  <c r="E73"/>
  <c r="F73" s="1"/>
  <c r="F78" s="1"/>
  <c r="F70"/>
  <c r="F69"/>
  <c r="F68"/>
  <c r="F67"/>
  <c r="F66"/>
  <c r="E66"/>
  <c r="E65"/>
  <c r="F65" s="1"/>
  <c r="F64"/>
  <c r="F63"/>
  <c r="E62"/>
  <c r="F62" s="1"/>
  <c r="F61"/>
  <c r="E61"/>
  <c r="F60"/>
  <c r="F57"/>
  <c r="F56"/>
  <c r="F55"/>
  <c r="F54"/>
  <c r="F53"/>
  <c r="F52"/>
  <c r="F51"/>
  <c r="E50"/>
  <c r="F50" s="1"/>
  <c r="E49"/>
  <c r="F49" s="1"/>
  <c r="F48"/>
  <c r="F47"/>
  <c r="F46"/>
  <c r="F43"/>
  <c r="F42"/>
  <c r="E41"/>
  <c r="D41"/>
  <c r="F41" s="1"/>
  <c r="F40"/>
  <c r="F44" s="1"/>
  <c r="E40"/>
  <c r="D40"/>
  <c r="F38"/>
  <c r="F34"/>
  <c r="F33"/>
  <c r="E32"/>
  <c r="F32" s="1"/>
  <c r="E31"/>
  <c r="F31" s="1"/>
  <c r="E30"/>
  <c r="F30" s="1"/>
  <c r="E29"/>
  <c r="F29" s="1"/>
  <c r="F28"/>
  <c r="F27"/>
  <c r="F26"/>
  <c r="F25"/>
  <c r="F24"/>
  <c r="F23"/>
  <c r="E15"/>
  <c r="E13"/>
  <c r="F90" s="1"/>
  <c r="E12"/>
  <c r="E11"/>
  <c r="F96" s="1"/>
  <c r="E8"/>
  <c r="F93" i="1"/>
  <c r="F92"/>
  <c r="F86"/>
  <c r="F82"/>
  <c r="F81"/>
  <c r="E81"/>
  <c r="E80"/>
  <c r="F80" s="1"/>
  <c r="F79"/>
  <c r="F78"/>
  <c r="E77"/>
  <c r="F77" s="1"/>
  <c r="F74"/>
  <c r="F73"/>
  <c r="F72"/>
  <c r="F71"/>
  <c r="E70"/>
  <c r="F70" s="1"/>
  <c r="F75" s="1"/>
  <c r="F67"/>
  <c r="F66"/>
  <c r="E65"/>
  <c r="F65" s="1"/>
  <c r="F64"/>
  <c r="E64"/>
  <c r="F63"/>
  <c r="F62"/>
  <c r="F61"/>
  <c r="E61"/>
  <c r="E60"/>
  <c r="F60" s="1"/>
  <c r="F59"/>
  <c r="F56"/>
  <c r="F55"/>
  <c r="F54"/>
  <c r="F53"/>
  <c r="F52"/>
  <c r="F51"/>
  <c r="E51"/>
  <c r="E50"/>
  <c r="F50" s="1"/>
  <c r="F49"/>
  <c r="E49"/>
  <c r="F48"/>
  <c r="F47"/>
  <c r="F46"/>
  <c r="F43"/>
  <c r="E42"/>
  <c r="D42"/>
  <c r="F42" s="1"/>
  <c r="E41"/>
  <c r="D41"/>
  <c r="F41" s="1"/>
  <c r="F44" s="1"/>
  <c r="F39"/>
  <c r="F35"/>
  <c r="F34"/>
  <c r="F33"/>
  <c r="E32"/>
  <c r="F32" s="1"/>
  <c r="F31"/>
  <c r="E31"/>
  <c r="E30"/>
  <c r="F30" s="1"/>
  <c r="F29"/>
  <c r="E29"/>
  <c r="F28"/>
  <c r="F27"/>
  <c r="F26"/>
  <c r="F25"/>
  <c r="F24"/>
  <c r="F23"/>
  <c r="E15"/>
  <c r="E12"/>
  <c r="F84" s="1"/>
  <c r="E11"/>
  <c r="F91" s="1"/>
  <c r="E8"/>
  <c r="F59" i="3" l="1"/>
  <c r="F92" s="1"/>
  <c r="F72"/>
  <c r="E16"/>
  <c r="F95"/>
  <c r="F102" s="1"/>
  <c r="F96"/>
  <c r="E13"/>
  <c r="F90" s="1"/>
  <c r="F71" i="2"/>
  <c r="F35"/>
  <c r="F58"/>
  <c r="E16"/>
  <c r="F36" i="1"/>
  <c r="F57"/>
  <c r="F68"/>
  <c r="E13"/>
  <c r="F85" s="1"/>
  <c r="F83"/>
  <c r="F90"/>
  <c r="F97" s="1"/>
  <c r="E112" i="3" l="1"/>
  <c r="E113" s="1"/>
  <c r="E111"/>
  <c r="E17"/>
  <c r="D112"/>
  <c r="D111"/>
  <c r="F104"/>
  <c r="F107" s="1"/>
  <c r="F92" i="2"/>
  <c r="F104" s="1"/>
  <c r="F107" s="1"/>
  <c r="F112" s="1"/>
  <c r="E17"/>
  <c r="C111"/>
  <c r="E111"/>
  <c r="D112"/>
  <c r="D111"/>
  <c r="E16" i="1"/>
  <c r="F87"/>
  <c r="F99" s="1"/>
  <c r="F102" s="1"/>
  <c r="E114" i="3" l="1"/>
  <c r="C114"/>
  <c r="C112"/>
  <c r="C113" s="1"/>
  <c r="F111"/>
  <c r="C111"/>
  <c r="F112"/>
  <c r="F111" i="2"/>
  <c r="C112"/>
  <c r="C113" s="1"/>
  <c r="E112"/>
  <c r="E113" s="1"/>
  <c r="E114"/>
  <c r="C114"/>
  <c r="E109" i="1"/>
  <c r="E107"/>
  <c r="E108" s="1"/>
  <c r="E106"/>
  <c r="E17"/>
  <c r="C109" s="1"/>
  <c r="D107"/>
  <c r="D106"/>
  <c r="C107"/>
  <c r="C108" s="1"/>
  <c r="C106"/>
  <c r="F107"/>
  <c r="F106"/>
</calcChain>
</file>

<file path=xl/sharedStrings.xml><?xml version="1.0" encoding="utf-8"?>
<sst xmlns="http://schemas.openxmlformats.org/spreadsheetml/2006/main" count="513" uniqueCount="126">
  <si>
    <t>COSTO DE PRODUCCION DE ARROZ</t>
  </si>
  <si>
    <t>RIEGO DE POZO PROFUNDO - CAMPO ARRENDADO - GASOIL</t>
  </si>
  <si>
    <t>INGRESOS</t>
  </si>
  <si>
    <t>Item</t>
  </si>
  <si>
    <t>Unidad</t>
  </si>
  <si>
    <t>Valor</t>
  </si>
  <si>
    <t>Rendimiento Esperado</t>
  </si>
  <si>
    <t>Kg/ha</t>
  </si>
  <si>
    <t>Precio del arroz cascara puesto en planta - dolares</t>
  </si>
  <si>
    <t>US$/Kg</t>
  </si>
  <si>
    <t>Tipo de Cambio</t>
  </si>
  <si>
    <t>$/US$</t>
  </si>
  <si>
    <t>Precio del arroz cáscara puesto en planta - pesos</t>
  </si>
  <si>
    <t>$/Kg</t>
  </si>
  <si>
    <t>Ingreso Bruto</t>
  </si>
  <si>
    <t>$/ha</t>
  </si>
  <si>
    <t>Costo Secado (secado + paritaria)</t>
  </si>
  <si>
    <t>%</t>
  </si>
  <si>
    <t xml:space="preserve">Flete </t>
  </si>
  <si>
    <t>$/Ton</t>
  </si>
  <si>
    <t>Flete</t>
  </si>
  <si>
    <t>INGRESO NETO</t>
  </si>
  <si>
    <t>Precio del arroz cascara, seco puesto en chacra - pesos</t>
  </si>
  <si>
    <t>COSTOS</t>
  </si>
  <si>
    <t>Costo</t>
  </si>
  <si>
    <t>Si usa el Precio/Labor debajo para estimar el costo de las labores, por favor ingrese $0 en el precio de la UTA</t>
  </si>
  <si>
    <t>Precio de la UTA</t>
  </si>
  <si>
    <t>Labores</t>
  </si>
  <si>
    <t># Labores</t>
  </si>
  <si>
    <t>UTA/Labor   o</t>
  </si>
  <si>
    <t>Precio/Labor</t>
  </si>
  <si>
    <t>Costo/ha</t>
  </si>
  <si>
    <t>Rastra pesada</t>
  </si>
  <si>
    <t>Rastra liviana</t>
  </si>
  <si>
    <t xml:space="preserve">Nivelación </t>
  </si>
  <si>
    <t>Marcacion y taipeado</t>
  </si>
  <si>
    <t>Siembra</t>
  </si>
  <si>
    <t>Construccion de canales</t>
  </si>
  <si>
    <t>Aplicacion terrestre de herbicida</t>
  </si>
  <si>
    <t>Aplicación terrestre de fertilizante</t>
  </si>
  <si>
    <t>Aplicación Aérea de fertilizante (60Kg de urea)</t>
  </si>
  <si>
    <t>Aplicacion aerea de fungicida</t>
  </si>
  <si>
    <t>Total Labores</t>
  </si>
  <si>
    <t>INSUMOS</t>
  </si>
  <si>
    <t>Cantidad/ha</t>
  </si>
  <si>
    <t>Precio/Unidad</t>
  </si>
  <si>
    <t>Semilla</t>
  </si>
  <si>
    <t>Kg</t>
  </si>
  <si>
    <t>Tratamiento de Semillas</t>
  </si>
  <si>
    <t>Dosis/ha</t>
  </si>
  <si>
    <t>Fungicida</t>
  </si>
  <si>
    <t>Lt</t>
  </si>
  <si>
    <t>Zinc</t>
  </si>
  <si>
    <t>Total tratamiento de semillas</t>
  </si>
  <si>
    <t>Herbicidas</t>
  </si>
  <si>
    <t>Nominee 40 SC (Bispiribac sodio)</t>
  </si>
  <si>
    <t>Nominee Gold 10 SC (Bispiribac sodio)</t>
  </si>
  <si>
    <t>Facet (Quinclorac)</t>
  </si>
  <si>
    <t>Glifosato 40%</t>
  </si>
  <si>
    <t>Kifix (Imazapyr + Imazapic)</t>
  </si>
  <si>
    <t>Command 48 SC (Clomazone)</t>
  </si>
  <si>
    <t>Command 36 SC (Clomazone)</t>
  </si>
  <si>
    <t>Clincher (Cyhalofop-butyl)</t>
  </si>
  <si>
    <t>Aura (Profoxidim)</t>
  </si>
  <si>
    <t>Total herbicidas</t>
  </si>
  <si>
    <t>Fertilizantes</t>
  </si>
  <si>
    <t>Quelato de zinc 5%</t>
  </si>
  <si>
    <t>Urea Granulada</t>
  </si>
  <si>
    <t>Formula 5-30-20</t>
  </si>
  <si>
    <t>Formula 7-40-0</t>
  </si>
  <si>
    <t>Formula 4-30-20</t>
  </si>
  <si>
    <t>Formula 15-15-15</t>
  </si>
  <si>
    <t>Fosfato Diamonico</t>
  </si>
  <si>
    <t>Fosfato Monoamonico</t>
  </si>
  <si>
    <t>Total fertilizantes</t>
  </si>
  <si>
    <t>Fungicidas</t>
  </si>
  <si>
    <t>Amistar (Azoxistrobin + Ciproconazol)</t>
  </si>
  <si>
    <t>Allegro (Kresoxim metil  + Epoxiconazole)</t>
  </si>
  <si>
    <t>Opera (Pyraclostrobin + Epoxiconazole)</t>
  </si>
  <si>
    <t>Total fungicidas</t>
  </si>
  <si>
    <t>Otros Insumos</t>
  </si>
  <si>
    <t>cantidad/ha</t>
  </si>
  <si>
    <r>
      <t>Gasoil para riego (sin IVA ni ITC</t>
    </r>
    <r>
      <rPr>
        <b/>
        <vertAlign val="superscript"/>
        <sz val="8"/>
        <color rgb="FF000000"/>
        <rFont val="Arial"/>
        <family val="2"/>
      </rPr>
      <t>1</t>
    </r>
    <r>
      <rPr>
        <sz val="8"/>
        <color rgb="FF000000"/>
        <rFont val="Arial"/>
        <family val="2"/>
      </rPr>
      <t>)</t>
    </r>
  </si>
  <si>
    <t>Gasoil para otros usos generales</t>
  </si>
  <si>
    <t>Aceite para motor diesel</t>
  </si>
  <si>
    <r>
      <t>Personal Permanente</t>
    </r>
    <r>
      <rPr>
        <b/>
        <vertAlign val="superscript"/>
        <sz val="8"/>
        <color rgb="FF000000"/>
        <rFont val="Arial"/>
        <family val="2"/>
      </rPr>
      <t>2</t>
    </r>
  </si>
  <si>
    <r>
      <t>Personal Transitorio</t>
    </r>
    <r>
      <rPr>
        <b/>
        <vertAlign val="superscript"/>
        <sz val="8"/>
        <color rgb="FF000000"/>
        <rFont val="Arial"/>
        <family val="2"/>
      </rPr>
      <t>3</t>
    </r>
  </si>
  <si>
    <t>Reparación y Conservación</t>
  </si>
  <si>
    <t>Labor</t>
  </si>
  <si>
    <t>Seguro contra viento/granizo</t>
  </si>
  <si>
    <t>% Asegurado</t>
  </si>
  <si>
    <t>TOTAL GASTOS FIJOS DIRECTOS</t>
  </si>
  <si>
    <t>GASTOS VARIABLES DIRECTOS</t>
  </si>
  <si>
    <t>Bonificación Personal</t>
  </si>
  <si>
    <t>% produccion</t>
  </si>
  <si>
    <t>Asesoramiento Técnico</t>
  </si>
  <si>
    <t>Gastos cosecha y Acarreo</t>
  </si>
  <si>
    <t>Kg arroz cascara</t>
  </si>
  <si>
    <t>Arrendamiento</t>
  </si>
  <si>
    <t>TOTAL GASTOS VARIABLES DIRECTOS</t>
  </si>
  <si>
    <t>TOTAL GASTOS DIRECTOS</t>
  </si>
  <si>
    <t>GASTOS ESTRUCTURA</t>
  </si>
  <si>
    <t xml:space="preserve">AMORTIZACIONES DIRECTAS </t>
  </si>
  <si>
    <t>COSTO TOTAL POR HECTÁREA</t>
  </si>
  <si>
    <t>RESULTADOS ECONOMICOS</t>
  </si>
  <si>
    <t>Campo Propio</t>
  </si>
  <si>
    <t>Campo Arrendado</t>
  </si>
  <si>
    <t>MARGEN BRUTO</t>
  </si>
  <si>
    <t>UTILIDAD</t>
  </si>
  <si>
    <t>(=MB - Estruc - Amort)</t>
  </si>
  <si>
    <t>RENTABILIDAD (%)</t>
  </si>
  <si>
    <t>RENDIMIENTO INDIFERENCIA (Kg/ha)</t>
  </si>
  <si>
    <r>
      <rPr>
        <b/>
        <vertAlign val="superscript"/>
        <sz val="8"/>
        <color theme="1"/>
        <rFont val="Arial"/>
        <family val="2"/>
      </rPr>
      <t xml:space="preserve">1. </t>
    </r>
    <r>
      <rPr>
        <sz val="8"/>
        <color theme="1"/>
        <rFont val="Arial"/>
        <family val="2"/>
      </rPr>
      <t>Asumiendo que el IVA y el ITC se pueden descontar del impuesto a las ganancias</t>
    </r>
  </si>
  <si>
    <r>
      <rPr>
        <vertAlign val="superscript"/>
        <sz val="8"/>
        <color theme="1"/>
        <rFont val="Arial"/>
        <family val="2"/>
      </rPr>
      <t>2.</t>
    </r>
    <r>
      <rPr>
        <sz val="8"/>
        <color theme="1"/>
        <rFont val="Arial"/>
        <family val="2"/>
      </rPr>
      <t xml:space="preserve"> Costo estimado asumiendo el empleo de 1 empleado permanente cada 70 has y afectado 70% al cultivo de arroz</t>
    </r>
  </si>
  <si>
    <r>
      <rPr>
        <b/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>. Costo estimado tomando en cuenta el empleo de 60 jornales cada 70 hectareas de arroz</t>
    </r>
  </si>
  <si>
    <t>RIEGO DE POZO PROFUNDO - CAMPO ARRENDADO - ELECTRICO</t>
  </si>
  <si>
    <t>Costo/Unidad   o</t>
  </si>
  <si>
    <t>Costo Total/ha</t>
  </si>
  <si>
    <t>Electricidad riego</t>
  </si>
  <si>
    <t>kW</t>
  </si>
  <si>
    <r>
      <t>Personal Permanente</t>
    </r>
    <r>
      <rPr>
        <b/>
        <vertAlign val="superscript"/>
        <sz val="8"/>
        <color rgb="FF000000"/>
        <rFont val="Arial"/>
        <family val="2"/>
      </rPr>
      <t>1</t>
    </r>
  </si>
  <si>
    <r>
      <t>Personal Transitorio</t>
    </r>
    <r>
      <rPr>
        <b/>
        <vertAlign val="superscript"/>
        <sz val="8"/>
        <color rgb="FF000000"/>
        <rFont val="Arial"/>
        <family val="2"/>
      </rPr>
      <t>2</t>
    </r>
  </si>
  <si>
    <r>
      <rPr>
        <vertAlign val="superscript"/>
        <sz val="8"/>
        <color theme="1"/>
        <rFont val="Arial"/>
        <family val="2"/>
      </rPr>
      <t>1.</t>
    </r>
    <r>
      <rPr>
        <sz val="8"/>
        <color theme="1"/>
        <rFont val="Arial"/>
        <family val="2"/>
      </rPr>
      <t xml:space="preserve"> Costo estimado asumiendo el empleo de 1 empleado permanente cada 80 has y afectado 70% al cultivo de arroz</t>
    </r>
  </si>
  <si>
    <r>
      <rPr>
        <b/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>. Costo estimado tomando en cuenta el empleo de 60 jornales cada 80 hectareas de arroz</t>
    </r>
  </si>
  <si>
    <t>RIEGO DE REPRESA - CAMPO ARRENDADO - GASOIL</t>
  </si>
  <si>
    <t>Conservacion de represas y canales</t>
  </si>
</sst>
</file>

<file path=xl/styles.xml><?xml version="1.0" encoding="utf-8"?>
<styleSheet xmlns="http://schemas.openxmlformats.org/spreadsheetml/2006/main">
  <numFmts count="9">
    <numFmt numFmtId="164" formatCode="_-&quot;$&quot;\ * #,##0.00_-;\-&quot;$&quot;\ * #,##0.00_-;_-&quot;$&quot;\ * &quot;-&quot;??_-;_-@_-"/>
    <numFmt numFmtId="165" formatCode="[$USD]\ #,##0.000"/>
    <numFmt numFmtId="166" formatCode="&quot;$&quot;#,##0.000"/>
    <numFmt numFmtId="167" formatCode="&quot;$&quot;#,##0"/>
    <numFmt numFmtId="168" formatCode="0.0%"/>
    <numFmt numFmtId="169" formatCode="&quot;$&quot;#,##0.0_);\(&quot;$&quot;#,##0.0\)"/>
    <numFmt numFmtId="170" formatCode="&quot;$&quot;#,##0.0"/>
    <numFmt numFmtId="171" formatCode="#,##0.0"/>
    <numFmt numFmtId="172" formatCode="[$USD]\ #,##0.0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2"/>
      <color rgb="FF000000"/>
      <name val="Arial"/>
      <family val="2"/>
    </font>
    <font>
      <sz val="8"/>
      <color theme="1"/>
      <name val="Arial"/>
      <family val="2"/>
    </font>
    <font>
      <b/>
      <sz val="11"/>
      <color rgb="FF000000"/>
      <name val="Arial"/>
      <family val="2"/>
    </font>
    <font>
      <b/>
      <sz val="8"/>
      <color theme="1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7"/>
      <color rgb="FFFF0000"/>
      <name val="Arial"/>
      <family val="2"/>
    </font>
    <font>
      <sz val="8"/>
      <color rgb="FF333333"/>
      <name val="Arial"/>
      <family val="2"/>
    </font>
    <font>
      <b/>
      <vertAlign val="superscript"/>
      <sz val="8"/>
      <color rgb="FF000000"/>
      <name val="Arial"/>
      <family val="2"/>
    </font>
    <font>
      <b/>
      <sz val="8"/>
      <color rgb="FFFF0000"/>
      <name val="Arial"/>
      <family val="2"/>
    </font>
    <font>
      <b/>
      <vertAlign val="superscript"/>
      <sz val="8"/>
      <color theme="1"/>
      <name val="Arial"/>
      <family val="2"/>
    </font>
    <font>
      <vertAlign val="superscript"/>
      <sz val="8"/>
      <color theme="1"/>
      <name val="Arial"/>
      <family val="2"/>
    </font>
    <font>
      <b/>
      <sz val="10"/>
      <color rgb="FFFF0000"/>
      <name val="Arial"/>
      <family val="2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69">
    <xf numFmtId="0" fontId="0" fillId="0" borderId="0" xfId="0"/>
    <xf numFmtId="0" fontId="3" fillId="2" borderId="0" xfId="0" applyFont="1" applyFill="1" applyBorder="1" applyAlignment="1" applyProtection="1"/>
    <xf numFmtId="0" fontId="4" fillId="2" borderId="0" xfId="0" applyFont="1" applyFill="1" applyBorder="1" applyAlignment="1">
      <alignment horizontal="center"/>
    </xf>
    <xf numFmtId="0" fontId="5" fillId="2" borderId="4" xfId="0" applyFont="1" applyFill="1" applyBorder="1" applyAlignment="1" applyProtection="1">
      <alignment horizontal="center"/>
    </xf>
    <xf numFmtId="0" fontId="3" fillId="2" borderId="5" xfId="0" applyFont="1" applyFill="1" applyBorder="1" applyAlignment="1" applyProtection="1">
      <alignment horizontal="left" indent="4"/>
    </xf>
    <xf numFmtId="0" fontId="5" fillId="2" borderId="5" xfId="0" applyFont="1" applyFill="1" applyBorder="1" applyAlignment="1" applyProtection="1">
      <alignment horizontal="left" indent="4"/>
    </xf>
    <xf numFmtId="0" fontId="5" fillId="2" borderId="0" xfId="0" applyFont="1" applyFill="1" applyBorder="1" applyAlignment="1" applyProtection="1"/>
    <xf numFmtId="0" fontId="3" fillId="2" borderId="5" xfId="0" applyFont="1" applyFill="1" applyBorder="1" applyAlignment="1" applyProtection="1">
      <alignment horizontal="center"/>
    </xf>
    <xf numFmtId="169" fontId="3" fillId="4" borderId="5" xfId="1" applyNumberFormat="1" applyFont="1" applyFill="1" applyBorder="1" applyAlignment="1" applyProtection="1">
      <alignment horizontal="right"/>
      <protection locked="0"/>
    </xf>
    <xf numFmtId="0" fontId="7" fillId="2" borderId="5" xfId="0" applyFont="1" applyFill="1" applyBorder="1" applyAlignment="1" applyProtection="1">
      <alignment horizontal="center"/>
    </xf>
    <xf numFmtId="0" fontId="5" fillId="2" borderId="5" xfId="0" applyFont="1" applyFill="1" applyBorder="1" applyAlignment="1" applyProtection="1">
      <alignment horizontal="center"/>
    </xf>
    <xf numFmtId="0" fontId="6" fillId="2" borderId="5" xfId="0" applyFont="1" applyFill="1" applyBorder="1" applyAlignment="1" applyProtection="1"/>
    <xf numFmtId="0" fontId="3" fillId="4" borderId="5" xfId="0" applyFont="1" applyFill="1" applyBorder="1" applyAlignment="1" applyProtection="1">
      <protection locked="0"/>
    </xf>
    <xf numFmtId="0" fontId="6" fillId="4" borderId="5" xfId="0" applyFont="1" applyFill="1" applyBorder="1" applyAlignment="1" applyProtection="1">
      <protection locked="0"/>
    </xf>
    <xf numFmtId="170" fontId="3" fillId="4" borderId="5" xfId="0" applyNumberFormat="1" applyFont="1" applyFill="1" applyBorder="1" applyAlignment="1" applyProtection="1">
      <protection locked="0"/>
    </xf>
    <xf numFmtId="170" fontId="3" fillId="2" borderId="5" xfId="1" applyNumberFormat="1" applyFont="1" applyFill="1" applyBorder="1" applyAlignment="1" applyProtection="1"/>
    <xf numFmtId="0" fontId="6" fillId="4" borderId="5" xfId="0" applyFont="1" applyFill="1" applyBorder="1" applyAlignment="1" applyProtection="1">
      <alignment horizontal="right"/>
      <protection locked="0"/>
    </xf>
    <xf numFmtId="170" fontId="6" fillId="4" borderId="5" xfId="1" applyNumberFormat="1" applyFont="1" applyFill="1" applyBorder="1" applyAlignment="1" applyProtection="1">
      <alignment horizontal="right"/>
      <protection locked="0"/>
    </xf>
    <xf numFmtId="0" fontId="7" fillId="2" borderId="5" xfId="0" applyFont="1" applyFill="1" applyBorder="1" applyAlignment="1" applyProtection="1"/>
    <xf numFmtId="0" fontId="5" fillId="2" borderId="5" xfId="0" applyFont="1" applyFill="1" applyBorder="1" applyAlignment="1" applyProtection="1"/>
    <xf numFmtId="170" fontId="5" fillId="2" borderId="5" xfId="1" applyNumberFormat="1" applyFont="1" applyFill="1" applyBorder="1" applyAlignment="1" applyProtection="1"/>
    <xf numFmtId="0" fontId="3" fillId="2" borderId="5" xfId="0" applyFont="1" applyFill="1" applyBorder="1" applyAlignment="1" applyProtection="1"/>
    <xf numFmtId="0" fontId="3" fillId="2" borderId="0" xfId="0" applyFont="1" applyFill="1" applyBorder="1" applyProtection="1"/>
    <xf numFmtId="164" fontId="6" fillId="4" borderId="5" xfId="1" applyFont="1" applyFill="1" applyBorder="1" applyAlignment="1" applyProtection="1">
      <alignment horizontal="right"/>
      <protection locked="0"/>
    </xf>
    <xf numFmtId="170" fontId="6" fillId="2" borderId="5" xfId="1" applyNumberFormat="1" applyFont="1" applyFill="1" applyBorder="1" applyAlignment="1" applyProtection="1">
      <alignment horizontal="right"/>
    </xf>
    <xf numFmtId="0" fontId="6" fillId="4" borderId="5" xfId="0" applyFont="1" applyFill="1" applyBorder="1" applyAlignment="1" applyProtection="1">
      <alignment horizontal="left" indent="4"/>
      <protection locked="0"/>
    </xf>
    <xf numFmtId="2" fontId="6" fillId="4" borderId="5" xfId="0" applyNumberFormat="1" applyFont="1" applyFill="1" applyBorder="1" applyAlignment="1" applyProtection="1">
      <alignment horizontal="right"/>
      <protection locked="0"/>
    </xf>
    <xf numFmtId="170" fontId="6" fillId="4" borderId="5" xfId="0" applyNumberFormat="1" applyFont="1" applyFill="1" applyBorder="1" applyAlignment="1" applyProtection="1">
      <alignment horizontal="right"/>
      <protection locked="0"/>
    </xf>
    <xf numFmtId="2" fontId="7" fillId="2" borderId="5" xfId="0" applyNumberFormat="1" applyFont="1" applyFill="1" applyBorder="1" applyAlignment="1" applyProtection="1">
      <alignment horizontal="right"/>
    </xf>
    <xf numFmtId="171" fontId="7" fillId="2" borderId="5" xfId="0" applyNumberFormat="1" applyFont="1" applyFill="1" applyBorder="1" applyAlignment="1" applyProtection="1">
      <alignment horizontal="right"/>
    </xf>
    <xf numFmtId="170" fontId="7" fillId="2" borderId="5" xfId="1" applyNumberFormat="1" applyFont="1" applyFill="1" applyBorder="1" applyAlignment="1" applyProtection="1">
      <alignment horizontal="right"/>
    </xf>
    <xf numFmtId="0" fontId="9" fillId="0" borderId="5" xfId="0" applyFont="1" applyBorder="1" applyProtection="1"/>
    <xf numFmtId="2" fontId="7" fillId="2" borderId="5" xfId="0" applyNumberFormat="1" applyFont="1" applyFill="1" applyBorder="1" applyAlignment="1" applyProtection="1">
      <alignment horizontal="center"/>
    </xf>
    <xf numFmtId="0" fontId="6" fillId="2" borderId="5" xfId="0" applyFont="1" applyFill="1" applyBorder="1" applyAlignment="1" applyProtection="1">
      <alignment horizontal="right"/>
    </xf>
    <xf numFmtId="10" fontId="6" fillId="4" borderId="5" xfId="2" applyNumberFormat="1" applyFont="1" applyFill="1" applyBorder="1" applyAlignment="1" applyProtection="1">
      <alignment horizontal="right"/>
      <protection locked="0"/>
    </xf>
    <xf numFmtId="170" fontId="6" fillId="4" borderId="5" xfId="2" applyNumberFormat="1" applyFont="1" applyFill="1" applyBorder="1" applyAlignment="1" applyProtection="1">
      <alignment horizontal="right"/>
      <protection locked="0"/>
    </xf>
    <xf numFmtId="0" fontId="5" fillId="2" borderId="5" xfId="0" applyFont="1" applyFill="1" applyBorder="1" applyProtection="1"/>
    <xf numFmtId="170" fontId="7" fillId="2" borderId="5" xfId="0" applyNumberFormat="1" applyFont="1" applyFill="1" applyBorder="1" applyAlignment="1" applyProtection="1">
      <alignment horizontal="right"/>
    </xf>
    <xf numFmtId="0" fontId="5" fillId="2" borderId="0" xfId="0" applyFont="1" applyFill="1" applyBorder="1" applyProtection="1"/>
    <xf numFmtId="0" fontId="3" fillId="2" borderId="0" xfId="0" applyFont="1" applyFill="1" applyBorder="1" applyAlignment="1" applyProtection="1">
      <alignment horizontal="center" vertical="top"/>
    </xf>
    <xf numFmtId="9" fontId="6" fillId="4" borderId="5" xfId="2" applyFont="1" applyFill="1" applyBorder="1" applyAlignment="1" applyProtection="1">
      <protection locked="0"/>
    </xf>
    <xf numFmtId="170" fontId="6" fillId="2" borderId="5" xfId="0" applyNumberFormat="1" applyFont="1" applyFill="1" applyBorder="1" applyAlignment="1" applyProtection="1"/>
    <xf numFmtId="3" fontId="6" fillId="4" borderId="5" xfId="0" applyNumberFormat="1" applyFont="1" applyFill="1" applyBorder="1" applyAlignment="1" applyProtection="1">
      <protection locked="0"/>
    </xf>
    <xf numFmtId="3" fontId="7" fillId="2" borderId="5" xfId="0" applyNumberFormat="1" applyFont="1" applyFill="1" applyBorder="1" applyAlignment="1" applyProtection="1"/>
    <xf numFmtId="170" fontId="7" fillId="2" borderId="5" xfId="0" applyNumberFormat="1" applyFont="1" applyFill="1" applyBorder="1" applyAlignment="1" applyProtection="1"/>
    <xf numFmtId="0" fontId="6" fillId="2" borderId="0" xfId="0" applyFont="1" applyFill="1" applyBorder="1" applyAlignment="1" applyProtection="1"/>
    <xf numFmtId="3" fontId="6" fillId="2" borderId="5" xfId="0" applyNumberFormat="1" applyFont="1" applyFill="1" applyBorder="1" applyAlignment="1" applyProtection="1"/>
    <xf numFmtId="170" fontId="6" fillId="4" borderId="5" xfId="0" applyNumberFormat="1" applyFont="1" applyFill="1" applyBorder="1" applyAlignment="1" applyProtection="1">
      <protection locked="0"/>
    </xf>
    <xf numFmtId="0" fontId="5" fillId="2" borderId="5" xfId="0" applyFont="1" applyFill="1" applyBorder="1" applyAlignment="1" applyProtection="1">
      <alignment horizontal="left"/>
    </xf>
    <xf numFmtId="0" fontId="3" fillId="2" borderId="5" xfId="0" applyFont="1" applyFill="1" applyBorder="1" applyProtection="1"/>
    <xf numFmtId="170" fontId="5" fillId="2" borderId="5" xfId="0" applyNumberFormat="1" applyFont="1" applyFill="1" applyBorder="1" applyAlignment="1" applyProtection="1">
      <alignment horizontal="right"/>
    </xf>
    <xf numFmtId="172" fontId="5" fillId="2" borderId="9" xfId="0" applyNumberFormat="1" applyFont="1" applyFill="1" applyBorder="1" applyAlignment="1" applyProtection="1">
      <alignment horizontal="right"/>
    </xf>
    <xf numFmtId="170" fontId="11" fillId="2" borderId="5" xfId="0" applyNumberFormat="1" applyFont="1" applyFill="1" applyBorder="1" applyAlignment="1" applyProtection="1">
      <alignment horizontal="right"/>
    </xf>
    <xf numFmtId="172" fontId="11" fillId="2" borderId="5" xfId="0" applyNumberFormat="1" applyFont="1" applyFill="1" applyBorder="1" applyAlignment="1" applyProtection="1">
      <alignment horizontal="right"/>
    </xf>
    <xf numFmtId="0" fontId="3" fillId="2" borderId="5" xfId="0" applyFont="1" applyFill="1" applyBorder="1"/>
    <xf numFmtId="0" fontId="3" fillId="2" borderId="0" xfId="0" applyFont="1" applyFill="1" applyBorder="1" applyAlignment="1"/>
    <xf numFmtId="0" fontId="5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left" indent="4"/>
    </xf>
    <xf numFmtId="0" fontId="5" fillId="2" borderId="5" xfId="0" applyFont="1" applyFill="1" applyBorder="1" applyAlignment="1">
      <alignment horizontal="left" indent="4"/>
    </xf>
    <xf numFmtId="0" fontId="5" fillId="2" borderId="0" xfId="0" applyFont="1" applyFill="1" applyBorder="1" applyAlignment="1"/>
    <xf numFmtId="0" fontId="3" fillId="2" borderId="5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6" fillId="2" borderId="5" xfId="0" applyFont="1" applyFill="1" applyBorder="1" applyAlignment="1"/>
    <xf numFmtId="170" fontId="3" fillId="2" borderId="5" xfId="1" applyNumberFormat="1" applyFont="1" applyFill="1" applyBorder="1" applyAlignment="1"/>
    <xf numFmtId="0" fontId="7" fillId="2" borderId="5" xfId="0" applyFont="1" applyFill="1" applyBorder="1" applyAlignment="1"/>
    <xf numFmtId="0" fontId="5" fillId="2" borderId="5" xfId="0" applyFont="1" applyFill="1" applyBorder="1" applyAlignment="1"/>
    <xf numFmtId="170" fontId="5" fillId="2" borderId="5" xfId="1" applyNumberFormat="1" applyFont="1" applyFill="1" applyBorder="1" applyAlignment="1"/>
    <xf numFmtId="0" fontId="3" fillId="2" borderId="5" xfId="0" applyFont="1" applyFill="1" applyBorder="1" applyAlignment="1"/>
    <xf numFmtId="0" fontId="3" fillId="2" borderId="0" xfId="0" applyFont="1" applyFill="1" applyBorder="1"/>
    <xf numFmtId="170" fontId="6" fillId="2" borderId="5" xfId="1" applyNumberFormat="1" applyFont="1" applyFill="1" applyBorder="1" applyAlignment="1">
      <alignment horizontal="right"/>
    </xf>
    <xf numFmtId="2" fontId="7" fillId="2" borderId="5" xfId="0" applyNumberFormat="1" applyFont="1" applyFill="1" applyBorder="1" applyAlignment="1">
      <alignment horizontal="right"/>
    </xf>
    <xf numFmtId="171" fontId="7" fillId="2" borderId="5" xfId="0" applyNumberFormat="1" applyFont="1" applyFill="1" applyBorder="1" applyAlignment="1">
      <alignment horizontal="right"/>
    </xf>
    <xf numFmtId="170" fontId="7" fillId="2" borderId="5" xfId="1" applyNumberFormat="1" applyFont="1" applyFill="1" applyBorder="1" applyAlignment="1">
      <alignment horizontal="right"/>
    </xf>
    <xf numFmtId="0" fontId="9" fillId="0" borderId="0" xfId="0" applyFont="1"/>
    <xf numFmtId="0" fontId="14" fillId="0" borderId="5" xfId="0" applyFont="1" applyFill="1" applyBorder="1" applyAlignment="1">
      <alignment horizontal="center"/>
    </xf>
    <xf numFmtId="0" fontId="14" fillId="0" borderId="5" xfId="0" applyFont="1" applyFill="1" applyBorder="1" applyAlignment="1">
      <alignment horizontal="left" indent="4"/>
    </xf>
    <xf numFmtId="0" fontId="14" fillId="0" borderId="5" xfId="0" applyFont="1" applyFill="1" applyBorder="1" applyAlignment="1" applyProtection="1">
      <alignment horizontal="center"/>
      <protection locked="0"/>
    </xf>
    <xf numFmtId="170" fontId="14" fillId="0" borderId="5" xfId="0" applyNumberFormat="1" applyFont="1" applyFill="1" applyBorder="1" applyAlignment="1" applyProtection="1">
      <protection locked="0"/>
    </xf>
    <xf numFmtId="170" fontId="14" fillId="0" borderId="5" xfId="1" applyNumberFormat="1" applyFont="1" applyFill="1" applyBorder="1" applyAlignment="1"/>
    <xf numFmtId="0" fontId="15" fillId="2" borderId="5" xfId="0" applyFont="1" applyFill="1" applyBorder="1" applyAlignment="1"/>
    <xf numFmtId="0" fontId="15" fillId="2" borderId="5" xfId="0" applyFont="1" applyFill="1" applyBorder="1" applyAlignment="1">
      <alignment horizontal="left" indent="4"/>
    </xf>
    <xf numFmtId="0" fontId="16" fillId="2" borderId="5" xfId="0" applyFont="1" applyFill="1" applyBorder="1" applyAlignment="1" applyProtection="1">
      <protection locked="0"/>
    </xf>
    <xf numFmtId="170" fontId="15" fillId="2" borderId="5" xfId="0" applyNumberFormat="1" applyFont="1" applyFill="1" applyBorder="1" applyAlignment="1" applyProtection="1">
      <protection locked="0"/>
    </xf>
    <xf numFmtId="170" fontId="16" fillId="2" borderId="5" xfId="0" applyNumberFormat="1" applyFont="1" applyFill="1" applyBorder="1" applyAlignment="1" applyProtection="1">
      <protection locked="0"/>
    </xf>
    <xf numFmtId="170" fontId="16" fillId="2" borderId="5" xfId="1" applyNumberFormat="1" applyFont="1" applyFill="1" applyBorder="1" applyAlignment="1"/>
    <xf numFmtId="2" fontId="7" fillId="2" borderId="5" xfId="0" applyNumberFormat="1" applyFont="1" applyFill="1" applyBorder="1" applyAlignment="1" applyProtection="1">
      <alignment horizontal="center"/>
      <protection locked="0"/>
    </xf>
    <xf numFmtId="0" fontId="7" fillId="2" borderId="5" xfId="0" applyFont="1" applyFill="1" applyBorder="1" applyAlignment="1" applyProtection="1">
      <alignment horizontal="center"/>
      <protection locked="0"/>
    </xf>
    <xf numFmtId="0" fontId="6" fillId="2" borderId="5" xfId="0" applyFont="1" applyFill="1" applyBorder="1" applyAlignment="1">
      <alignment horizontal="right"/>
    </xf>
    <xf numFmtId="0" fontId="5" fillId="2" borderId="5" xfId="0" applyFont="1" applyFill="1" applyBorder="1"/>
    <xf numFmtId="170" fontId="7" fillId="2" borderId="5" xfId="0" applyNumberFormat="1" applyFont="1" applyFill="1" applyBorder="1" applyAlignment="1">
      <alignment horizontal="right"/>
    </xf>
    <xf numFmtId="0" fontId="5" fillId="2" borderId="0" xfId="0" applyFont="1" applyFill="1" applyBorder="1"/>
    <xf numFmtId="0" fontId="3" fillId="2" borderId="0" xfId="0" applyFont="1" applyFill="1" applyBorder="1" applyAlignment="1">
      <alignment horizontal="center" vertical="top"/>
    </xf>
    <xf numFmtId="170" fontId="6" fillId="2" borderId="5" xfId="0" applyNumberFormat="1" applyFont="1" applyFill="1" applyBorder="1" applyAlignment="1"/>
    <xf numFmtId="3" fontId="7" fillId="2" borderId="5" xfId="0" applyNumberFormat="1" applyFont="1" applyFill="1" applyBorder="1" applyAlignment="1"/>
    <xf numFmtId="170" fontId="7" fillId="2" borderId="5" xfId="0" applyNumberFormat="1" applyFont="1" applyFill="1" applyBorder="1" applyAlignment="1"/>
    <xf numFmtId="0" fontId="6" fillId="2" borderId="0" xfId="0" applyFont="1" applyFill="1" applyBorder="1" applyAlignment="1"/>
    <xf numFmtId="3" fontId="6" fillId="2" borderId="5" xfId="0" applyNumberFormat="1" applyFont="1" applyFill="1" applyBorder="1" applyAlignment="1"/>
    <xf numFmtId="0" fontId="5" fillId="2" borderId="5" xfId="0" applyFont="1" applyFill="1" applyBorder="1" applyAlignment="1">
      <alignment horizontal="left"/>
    </xf>
    <xf numFmtId="170" fontId="5" fillId="2" borderId="5" xfId="0" applyNumberFormat="1" applyFont="1" applyFill="1" applyBorder="1" applyAlignment="1">
      <alignment horizontal="right"/>
    </xf>
    <xf numFmtId="172" fontId="5" fillId="2" borderId="9" xfId="0" applyNumberFormat="1" applyFont="1" applyFill="1" applyBorder="1" applyAlignment="1">
      <alignment horizontal="right"/>
    </xf>
    <xf numFmtId="170" fontId="11" fillId="2" borderId="5" xfId="0" applyNumberFormat="1" applyFont="1" applyFill="1" applyBorder="1" applyAlignment="1">
      <alignment horizontal="right"/>
    </xf>
    <xf numFmtId="172" fontId="11" fillId="2" borderId="5" xfId="0" applyNumberFormat="1" applyFont="1" applyFill="1" applyBorder="1" applyAlignment="1">
      <alignment horizontal="right"/>
    </xf>
    <xf numFmtId="2" fontId="7" fillId="2" borderId="5" xfId="0" applyNumberFormat="1" applyFont="1" applyFill="1" applyBorder="1" applyAlignment="1">
      <alignment horizontal="center"/>
    </xf>
    <xf numFmtId="3" fontId="5" fillId="2" borderId="5" xfId="0" applyNumberFormat="1" applyFont="1" applyFill="1" applyBorder="1" applyAlignment="1" applyProtection="1">
      <alignment horizontal="center"/>
    </xf>
    <xf numFmtId="3" fontId="5" fillId="2" borderId="9" xfId="0" applyNumberFormat="1" applyFont="1" applyFill="1" applyBorder="1" applyAlignment="1" applyProtection="1">
      <alignment horizontal="center"/>
    </xf>
    <xf numFmtId="3" fontId="5" fillId="2" borderId="10" xfId="0" applyNumberFormat="1" applyFont="1" applyFill="1" applyBorder="1" applyAlignment="1" applyProtection="1">
      <alignment horizontal="center"/>
    </xf>
    <xf numFmtId="3" fontId="6" fillId="2" borderId="0" xfId="0" applyNumberFormat="1" applyFont="1" applyFill="1" applyBorder="1" applyAlignment="1" applyProtection="1"/>
    <xf numFmtId="0" fontId="5" fillId="3" borderId="1" xfId="0" applyFont="1" applyFill="1" applyBorder="1" applyAlignment="1" applyProtection="1">
      <alignment horizontal="center"/>
    </xf>
    <xf numFmtId="0" fontId="5" fillId="3" borderId="2" xfId="0" applyFont="1" applyFill="1" applyBorder="1" applyAlignment="1" applyProtection="1">
      <alignment horizontal="center"/>
    </xf>
    <xf numFmtId="0" fontId="5" fillId="3" borderId="3" xfId="0" applyFont="1" applyFill="1" applyBorder="1" applyAlignment="1" applyProtection="1">
      <alignment horizontal="center"/>
    </xf>
    <xf numFmtId="0" fontId="5" fillId="2" borderId="4" xfId="0" applyFont="1" applyFill="1" applyBorder="1" applyAlignment="1" applyProtection="1">
      <alignment horizontal="center"/>
    </xf>
    <xf numFmtId="0" fontId="5" fillId="2" borderId="8" xfId="0" applyFont="1" applyFill="1" applyBorder="1" applyAlignment="1" applyProtection="1">
      <alignment horizontal="center"/>
    </xf>
    <xf numFmtId="168" fontId="5" fillId="2" borderId="5" xfId="2" applyNumberFormat="1" applyFont="1" applyFill="1" applyBorder="1" applyAlignment="1" applyProtection="1">
      <alignment horizontal="center"/>
    </xf>
    <xf numFmtId="168" fontId="5" fillId="2" borderId="9" xfId="2" applyNumberFormat="1" applyFont="1" applyFill="1" applyBorder="1" applyAlignment="1" applyProtection="1">
      <alignment horizontal="center"/>
    </xf>
    <xf numFmtId="168" fontId="11" fillId="2" borderId="10" xfId="2" applyNumberFormat="1" applyFont="1" applyFill="1" applyBorder="1" applyAlignment="1" applyProtection="1">
      <alignment horizontal="center"/>
    </xf>
    <xf numFmtId="168" fontId="11" fillId="2" borderId="5" xfId="2" applyNumberFormat="1" applyFont="1" applyFill="1" applyBorder="1" applyAlignment="1" applyProtection="1">
      <alignment horizontal="center"/>
    </xf>
    <xf numFmtId="0" fontId="6" fillId="2" borderId="5" xfId="0" applyFont="1" applyFill="1" applyBorder="1" applyAlignment="1" applyProtection="1">
      <alignment horizontal="left" indent="6"/>
    </xf>
    <xf numFmtId="0" fontId="6" fillId="4" borderId="5" xfId="0" applyFont="1" applyFill="1" applyBorder="1" applyAlignment="1" applyProtection="1">
      <protection locked="0"/>
    </xf>
    <xf numFmtId="0" fontId="6" fillId="4" borderId="5" xfId="0" applyFont="1" applyFill="1" applyBorder="1" applyAlignment="1" applyProtection="1">
      <alignment horizontal="left" indent="6"/>
      <protection locked="0"/>
    </xf>
    <xf numFmtId="0" fontId="3" fillId="2" borderId="0" xfId="0" applyFont="1" applyFill="1" applyBorder="1" applyAlignment="1" applyProtection="1">
      <alignment horizontal="center" vertical="top"/>
    </xf>
    <xf numFmtId="0" fontId="5" fillId="2" borderId="5" xfId="0" applyFont="1" applyFill="1" applyBorder="1" applyAlignment="1" applyProtection="1">
      <alignment horizontal="center"/>
    </xf>
    <xf numFmtId="0" fontId="6" fillId="2" borderId="5" xfId="0" applyFont="1" applyFill="1" applyBorder="1" applyAlignment="1" applyProtection="1"/>
    <xf numFmtId="0" fontId="7" fillId="2" borderId="5" xfId="0" applyFont="1" applyFill="1" applyBorder="1" applyAlignment="1" applyProtection="1">
      <alignment horizontal="center"/>
    </xf>
    <xf numFmtId="0" fontId="6" fillId="2" borderId="5" xfId="0" applyFont="1" applyFill="1" applyBorder="1" applyAlignment="1" applyProtection="1">
      <alignment horizontal="left"/>
    </xf>
    <xf numFmtId="0" fontId="3" fillId="2" borderId="5" xfId="0" applyFont="1" applyFill="1" applyBorder="1" applyAlignment="1" applyProtection="1"/>
    <xf numFmtId="166" fontId="6" fillId="2" borderId="5" xfId="0" applyNumberFormat="1" applyFont="1" applyFill="1" applyBorder="1" applyAlignment="1" applyProtection="1">
      <alignment horizontal="right" indent="8"/>
    </xf>
    <xf numFmtId="0" fontId="3" fillId="2" borderId="6" xfId="0" applyFont="1" applyFill="1" applyBorder="1" applyAlignment="1" applyProtection="1"/>
    <xf numFmtId="0" fontId="8" fillId="2" borderId="7" xfId="0" applyFont="1" applyFill="1" applyBorder="1" applyAlignment="1" applyProtection="1">
      <alignment horizontal="left" vertical="center" wrapText="1"/>
    </xf>
    <xf numFmtId="0" fontId="8" fillId="2" borderId="0" xfId="0" applyFont="1" applyFill="1" applyBorder="1" applyAlignment="1" applyProtection="1">
      <alignment horizontal="left" vertical="center" wrapText="1"/>
    </xf>
    <xf numFmtId="167" fontId="6" fillId="4" borderId="5" xfId="0" applyNumberFormat="1" applyFont="1" applyFill="1" applyBorder="1" applyAlignment="1" applyProtection="1">
      <alignment horizontal="right" indent="8"/>
      <protection locked="0"/>
    </xf>
    <xf numFmtId="167" fontId="6" fillId="2" borderId="5" xfId="0" applyNumberFormat="1" applyFont="1" applyFill="1" applyBorder="1" applyAlignment="1" applyProtection="1">
      <alignment horizontal="right" indent="8"/>
    </xf>
    <xf numFmtId="0" fontId="7" fillId="2" borderId="5" xfId="0" applyFont="1" applyFill="1" applyBorder="1" applyAlignment="1" applyProtection="1"/>
    <xf numFmtId="167" fontId="7" fillId="2" borderId="5" xfId="0" applyNumberFormat="1" applyFont="1" applyFill="1" applyBorder="1" applyAlignment="1" applyProtection="1">
      <alignment horizontal="right" indent="8"/>
    </xf>
    <xf numFmtId="168" fontId="6" fillId="4" borderId="5" xfId="2" applyNumberFormat="1" applyFont="1" applyFill="1" applyBorder="1" applyAlignment="1" applyProtection="1">
      <alignment horizontal="right" indent="8"/>
      <protection locked="0"/>
    </xf>
    <xf numFmtId="165" fontId="6" fillId="2" borderId="5" xfId="0" applyNumberFormat="1" applyFont="1" applyFill="1" applyBorder="1" applyAlignment="1" applyProtection="1">
      <alignment horizontal="right" indent="8"/>
    </xf>
    <xf numFmtId="4" fontId="6" fillId="4" borderId="5" xfId="0" applyNumberFormat="1" applyFont="1" applyFill="1" applyBorder="1" applyAlignment="1" applyProtection="1">
      <alignment horizontal="right" indent="8"/>
      <protection locked="0"/>
    </xf>
    <xf numFmtId="166" fontId="6" fillId="4" borderId="5" xfId="0" applyNumberFormat="1" applyFont="1" applyFill="1" applyBorder="1" applyAlignment="1" applyProtection="1">
      <alignment horizontal="right" indent="8"/>
      <protection locked="0"/>
    </xf>
    <xf numFmtId="0" fontId="2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3" fontId="6" fillId="4" borderId="5" xfId="0" applyNumberFormat="1" applyFont="1" applyFill="1" applyBorder="1" applyAlignment="1" applyProtection="1">
      <alignment horizontal="right" indent="8"/>
      <protection locked="0"/>
    </xf>
    <xf numFmtId="168" fontId="5" fillId="2" borderId="5" xfId="2" applyNumberFormat="1" applyFont="1" applyFill="1" applyBorder="1" applyAlignment="1">
      <alignment horizontal="center"/>
    </xf>
    <xf numFmtId="168" fontId="5" fillId="2" borderId="9" xfId="2" applyNumberFormat="1" applyFont="1" applyFill="1" applyBorder="1" applyAlignment="1">
      <alignment horizontal="center"/>
    </xf>
    <xf numFmtId="168" fontId="11" fillId="2" borderId="10" xfId="2" applyNumberFormat="1" applyFont="1" applyFill="1" applyBorder="1" applyAlignment="1">
      <alignment horizontal="center"/>
    </xf>
    <xf numFmtId="168" fontId="11" fillId="2" borderId="5" xfId="2" applyNumberFormat="1" applyFont="1" applyFill="1" applyBorder="1" applyAlignment="1">
      <alignment horizontal="center"/>
    </xf>
    <xf numFmtId="3" fontId="5" fillId="2" borderId="5" xfId="0" applyNumberFormat="1" applyFont="1" applyFill="1" applyBorder="1" applyAlignment="1">
      <alignment horizontal="center"/>
    </xf>
    <xf numFmtId="3" fontId="5" fillId="2" borderId="9" xfId="0" applyNumberFormat="1" applyFont="1" applyFill="1" applyBorder="1" applyAlignment="1">
      <alignment horizontal="center"/>
    </xf>
    <xf numFmtId="3" fontId="5" fillId="2" borderId="10" xfId="0" applyNumberFormat="1" applyFont="1" applyFill="1" applyBorder="1" applyAlignment="1">
      <alignment horizontal="center"/>
    </xf>
    <xf numFmtId="3" fontId="6" fillId="2" borderId="0" xfId="0" applyNumberFormat="1" applyFont="1" applyFill="1" applyBorder="1" applyAlignment="1"/>
    <xf numFmtId="0" fontId="5" fillId="3" borderId="1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left" indent="6"/>
    </xf>
    <xf numFmtId="0" fontId="3" fillId="2" borderId="0" xfId="0" applyFont="1" applyFill="1" applyBorder="1" applyAlignment="1">
      <alignment horizontal="center" vertical="top"/>
    </xf>
    <xf numFmtId="0" fontId="5" fillId="2" borderId="5" xfId="0" applyFont="1" applyFill="1" applyBorder="1" applyAlignment="1">
      <alignment horizontal="center"/>
    </xf>
    <xf numFmtId="0" fontId="6" fillId="2" borderId="5" xfId="0" applyFont="1" applyFill="1" applyBorder="1" applyAlignment="1"/>
    <xf numFmtId="0" fontId="7" fillId="2" borderId="5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left"/>
    </xf>
    <xf numFmtId="0" fontId="3" fillId="2" borderId="5" xfId="0" applyFont="1" applyFill="1" applyBorder="1" applyAlignment="1"/>
    <xf numFmtId="166" fontId="6" fillId="2" borderId="5" xfId="0" applyNumberFormat="1" applyFont="1" applyFill="1" applyBorder="1" applyAlignment="1">
      <alignment horizontal="right" indent="8"/>
    </xf>
    <xf numFmtId="0" fontId="3" fillId="2" borderId="6" xfId="0" applyFont="1" applyFill="1" applyBorder="1" applyAlignment="1"/>
    <xf numFmtId="0" fontId="8" fillId="2" borderId="7" xfId="0" applyFont="1" applyFill="1" applyBorder="1" applyAlignment="1">
      <alignment horizontal="left" vertical="center" wrapText="1"/>
    </xf>
    <xf numFmtId="0" fontId="8" fillId="2" borderId="0" xfId="0" applyFont="1" applyFill="1" applyBorder="1" applyAlignment="1">
      <alignment horizontal="left" vertical="center" wrapText="1"/>
    </xf>
    <xf numFmtId="167" fontId="6" fillId="2" borderId="5" xfId="0" applyNumberFormat="1" applyFont="1" applyFill="1" applyBorder="1" applyAlignment="1">
      <alignment horizontal="right" indent="8"/>
    </xf>
    <xf numFmtId="0" fontId="7" fillId="2" borderId="5" xfId="0" applyFont="1" applyFill="1" applyBorder="1" applyAlignment="1"/>
    <xf numFmtId="167" fontId="7" fillId="2" borderId="5" xfId="0" applyNumberFormat="1" applyFont="1" applyFill="1" applyBorder="1" applyAlignment="1">
      <alignment horizontal="right" indent="8"/>
    </xf>
    <xf numFmtId="165" fontId="6" fillId="2" borderId="5" xfId="0" applyNumberFormat="1" applyFont="1" applyFill="1" applyBorder="1" applyAlignment="1">
      <alignment horizontal="right" indent="8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H112"/>
  <sheetViews>
    <sheetView tabSelected="1" workbookViewId="0">
      <selection activeCell="H27" sqref="H27:H32"/>
    </sheetView>
  </sheetViews>
  <sheetFormatPr defaultColWidth="9.140625" defaultRowHeight="11.25"/>
  <cols>
    <col min="1" max="2" width="15.7109375" style="1" customWidth="1"/>
    <col min="3" max="6" width="13.7109375" style="1" customWidth="1"/>
    <col min="7" max="8" width="9.28515625" style="1" customWidth="1"/>
    <col min="9" max="16384" width="9.140625" style="22"/>
  </cols>
  <sheetData>
    <row r="1" spans="1:6" s="1" customFormat="1" ht="18.75" customHeight="1">
      <c r="A1" s="138" t="s">
        <v>0</v>
      </c>
      <c r="B1" s="138"/>
      <c r="C1" s="138"/>
      <c r="D1" s="138"/>
      <c r="E1" s="138"/>
      <c r="F1" s="138"/>
    </row>
    <row r="2" spans="1:6" s="1" customFormat="1" ht="12.75" customHeight="1">
      <c r="A2" s="2"/>
      <c r="B2" s="2"/>
      <c r="C2" s="2"/>
      <c r="D2" s="2"/>
      <c r="E2" s="2"/>
      <c r="F2" s="2"/>
    </row>
    <row r="3" spans="1:6" s="1" customFormat="1" ht="12.75" customHeight="1">
      <c r="A3" s="139" t="s">
        <v>1</v>
      </c>
      <c r="B3" s="139"/>
      <c r="C3" s="139"/>
      <c r="D3" s="139"/>
      <c r="E3" s="139"/>
      <c r="F3" s="139"/>
    </row>
    <row r="4" spans="1:6" s="1" customFormat="1" ht="12.75" customHeight="1" thickBot="1">
      <c r="A4" s="2"/>
      <c r="B4" s="2"/>
      <c r="C4" s="2"/>
      <c r="D4" s="2"/>
      <c r="E4" s="2"/>
      <c r="F4" s="2"/>
    </row>
    <row r="5" spans="1:6" s="1" customFormat="1" ht="12.75" customHeight="1" thickBot="1">
      <c r="A5" s="108" t="s">
        <v>2</v>
      </c>
      <c r="B5" s="109"/>
      <c r="C5" s="109"/>
      <c r="D5" s="109"/>
      <c r="E5" s="109"/>
      <c r="F5" s="110"/>
    </row>
    <row r="6" spans="1:6" s="1" customFormat="1" ht="12.75" customHeight="1">
      <c r="A6" s="111" t="s">
        <v>3</v>
      </c>
      <c r="B6" s="111"/>
      <c r="C6" s="111"/>
      <c r="D6" s="3" t="s">
        <v>4</v>
      </c>
      <c r="E6" s="111" t="s">
        <v>5</v>
      </c>
      <c r="F6" s="111"/>
    </row>
    <row r="7" spans="1:6" s="1" customFormat="1" ht="12.75" customHeight="1">
      <c r="A7" s="122" t="s">
        <v>6</v>
      </c>
      <c r="B7" s="122"/>
      <c r="C7" s="122"/>
      <c r="D7" s="4" t="s">
        <v>7</v>
      </c>
      <c r="E7" s="140">
        <v>7400</v>
      </c>
      <c r="F7" s="140"/>
    </row>
    <row r="8" spans="1:6" s="1" customFormat="1" ht="12.75" customHeight="1">
      <c r="A8" s="122" t="s">
        <v>8</v>
      </c>
      <c r="B8" s="122"/>
      <c r="C8" s="122"/>
      <c r="D8" s="4" t="s">
        <v>9</v>
      </c>
      <c r="E8" s="135">
        <f>E10/E9</f>
        <v>0.17763157894736845</v>
      </c>
      <c r="F8" s="135"/>
    </row>
    <row r="9" spans="1:6" s="1" customFormat="1" ht="12.75" customHeight="1">
      <c r="A9" s="122" t="s">
        <v>10</v>
      </c>
      <c r="B9" s="122"/>
      <c r="C9" s="122"/>
      <c r="D9" s="4" t="s">
        <v>11</v>
      </c>
      <c r="E9" s="136">
        <v>30.4</v>
      </c>
      <c r="F9" s="136"/>
    </row>
    <row r="10" spans="1:6" s="1" customFormat="1" ht="12.75" customHeight="1">
      <c r="A10" s="122" t="s">
        <v>12</v>
      </c>
      <c r="B10" s="122"/>
      <c r="C10" s="122"/>
      <c r="D10" s="4" t="s">
        <v>13</v>
      </c>
      <c r="E10" s="137">
        <v>5.4</v>
      </c>
      <c r="F10" s="137"/>
    </row>
    <row r="11" spans="1:6" s="1" customFormat="1" ht="12.75" customHeight="1">
      <c r="A11" s="122" t="s">
        <v>14</v>
      </c>
      <c r="B11" s="122"/>
      <c r="C11" s="122"/>
      <c r="D11" s="4" t="s">
        <v>15</v>
      </c>
      <c r="E11" s="131">
        <f>E7*E10</f>
        <v>39960</v>
      </c>
      <c r="F11" s="131"/>
    </row>
    <row r="12" spans="1:6" s="1" customFormat="1" ht="12.75" customHeight="1">
      <c r="A12" s="122" t="s">
        <v>16</v>
      </c>
      <c r="B12" s="122"/>
      <c r="C12" s="122"/>
      <c r="D12" s="4" t="s">
        <v>17</v>
      </c>
      <c r="E12" s="134">
        <f>(5.94%+0.5%)</f>
        <v>6.4399999999999999E-2</v>
      </c>
      <c r="F12" s="134"/>
    </row>
    <row r="13" spans="1:6" s="1" customFormat="1" ht="12.75" customHeight="1">
      <c r="A13" s="122" t="s">
        <v>16</v>
      </c>
      <c r="B13" s="122"/>
      <c r="C13" s="122"/>
      <c r="D13" s="4" t="s">
        <v>15</v>
      </c>
      <c r="E13" s="131">
        <f>E11*E12</f>
        <v>2573.424</v>
      </c>
      <c r="F13" s="131"/>
    </row>
    <row r="14" spans="1:6" s="1" customFormat="1" ht="12.75" customHeight="1">
      <c r="A14" s="122" t="s">
        <v>18</v>
      </c>
      <c r="B14" s="122"/>
      <c r="C14" s="122"/>
      <c r="D14" s="4" t="s">
        <v>19</v>
      </c>
      <c r="E14" s="130">
        <v>145.75</v>
      </c>
      <c r="F14" s="130"/>
    </row>
    <row r="15" spans="1:6" s="1" customFormat="1" ht="12.75" customHeight="1">
      <c r="A15" s="122" t="s">
        <v>20</v>
      </c>
      <c r="B15" s="122"/>
      <c r="C15" s="122"/>
      <c r="D15" s="4" t="s">
        <v>15</v>
      </c>
      <c r="E15" s="131">
        <f>E7/1000*E14</f>
        <v>1078.55</v>
      </c>
      <c r="F15" s="131"/>
    </row>
    <row r="16" spans="1:6" s="6" customFormat="1" ht="12.75" customHeight="1">
      <c r="A16" s="132" t="s">
        <v>21</v>
      </c>
      <c r="B16" s="132"/>
      <c r="C16" s="132"/>
      <c r="D16" s="5" t="s">
        <v>15</v>
      </c>
      <c r="E16" s="133">
        <f>E11-E13-E15</f>
        <v>36308.025999999998</v>
      </c>
      <c r="F16" s="133"/>
    </row>
    <row r="17" spans="1:6" s="1" customFormat="1" ht="12.75" customHeight="1">
      <c r="A17" s="125" t="s">
        <v>22</v>
      </c>
      <c r="B17" s="125"/>
      <c r="C17" s="125"/>
      <c r="D17" s="4" t="s">
        <v>13</v>
      </c>
      <c r="E17" s="126">
        <f>E16/E7</f>
        <v>4.9064899999999998</v>
      </c>
      <c r="F17" s="126"/>
    </row>
    <row r="18" spans="1:6" s="1" customFormat="1" ht="12.75" customHeight="1" thickBot="1">
      <c r="A18" s="127"/>
      <c r="B18" s="127"/>
      <c r="C18" s="127"/>
    </row>
    <row r="19" spans="1:6" s="1" customFormat="1" ht="12.75" customHeight="1" thickBot="1">
      <c r="A19" s="108" t="s">
        <v>23</v>
      </c>
      <c r="B19" s="109"/>
      <c r="C19" s="109"/>
      <c r="D19" s="109"/>
      <c r="E19" s="109"/>
      <c r="F19" s="110"/>
    </row>
    <row r="20" spans="1:6" s="1" customFormat="1" ht="12.75" customHeight="1">
      <c r="A20" s="3" t="s">
        <v>3</v>
      </c>
      <c r="B20" s="3" t="s">
        <v>4</v>
      </c>
      <c r="C20" s="3" t="s">
        <v>24</v>
      </c>
      <c r="D20" s="128" t="s">
        <v>25</v>
      </c>
      <c r="E20" s="128"/>
      <c r="F20" s="128"/>
    </row>
    <row r="21" spans="1:6" s="1" customFormat="1" ht="12.75" customHeight="1">
      <c r="A21" s="7" t="s">
        <v>26</v>
      </c>
      <c r="B21" s="4" t="s">
        <v>15</v>
      </c>
      <c r="C21" s="8">
        <v>915</v>
      </c>
      <c r="D21" s="129"/>
      <c r="E21" s="129"/>
      <c r="F21" s="129"/>
    </row>
    <row r="22" spans="1:6" s="1" customFormat="1" ht="12.75" customHeight="1">
      <c r="A22" s="9" t="s">
        <v>27</v>
      </c>
      <c r="B22" s="9"/>
      <c r="C22" s="10" t="s">
        <v>28</v>
      </c>
      <c r="D22" s="9" t="s">
        <v>29</v>
      </c>
      <c r="E22" s="10" t="s">
        <v>30</v>
      </c>
      <c r="F22" s="9" t="s">
        <v>31</v>
      </c>
    </row>
    <row r="23" spans="1:6" s="1" customFormat="1" ht="12.75" customHeight="1">
      <c r="A23" s="11" t="s">
        <v>32</v>
      </c>
      <c r="B23" s="11"/>
      <c r="C23" s="12">
        <v>1</v>
      </c>
      <c r="D23" s="13">
        <v>1.5</v>
      </c>
      <c r="E23" s="14">
        <v>0</v>
      </c>
      <c r="F23" s="15">
        <f t="shared" ref="F23:F35" si="0">C23*D23*$C$21 +C23*E23</f>
        <v>1372.5</v>
      </c>
    </row>
    <row r="24" spans="1:6" s="1" customFormat="1" ht="12.75" customHeight="1">
      <c r="A24" s="11" t="s">
        <v>33</v>
      </c>
      <c r="B24" s="11"/>
      <c r="C24" s="12">
        <v>1</v>
      </c>
      <c r="D24" s="13">
        <v>1</v>
      </c>
      <c r="E24" s="14">
        <v>0</v>
      </c>
      <c r="F24" s="15">
        <f t="shared" si="0"/>
        <v>915</v>
      </c>
    </row>
    <row r="25" spans="1:6" s="1" customFormat="1" ht="12.75" customHeight="1">
      <c r="A25" s="11" t="s">
        <v>34</v>
      </c>
      <c r="B25" s="11"/>
      <c r="C25" s="12">
        <v>1</v>
      </c>
      <c r="D25" s="13">
        <v>0.55000000000000004</v>
      </c>
      <c r="E25" s="14">
        <v>0</v>
      </c>
      <c r="F25" s="15">
        <f t="shared" si="0"/>
        <v>503.25000000000006</v>
      </c>
    </row>
    <row r="26" spans="1:6" s="1" customFormat="1" ht="12.75" customHeight="1">
      <c r="A26" s="11" t="s">
        <v>35</v>
      </c>
      <c r="B26" s="11"/>
      <c r="C26" s="12">
        <v>1</v>
      </c>
      <c r="D26" s="13">
        <v>0.55000000000000004</v>
      </c>
      <c r="E26" s="14">
        <v>0</v>
      </c>
      <c r="F26" s="15">
        <f t="shared" si="0"/>
        <v>503.25000000000006</v>
      </c>
    </row>
    <row r="27" spans="1:6" s="1" customFormat="1" ht="12.75" customHeight="1">
      <c r="A27" s="11" t="s">
        <v>36</v>
      </c>
      <c r="B27" s="11"/>
      <c r="C27" s="12">
        <v>1</v>
      </c>
      <c r="D27" s="13">
        <v>1</v>
      </c>
      <c r="E27" s="14">
        <v>0</v>
      </c>
      <c r="F27" s="15">
        <f t="shared" si="0"/>
        <v>915</v>
      </c>
    </row>
    <row r="28" spans="1:6" s="1" customFormat="1" ht="12.75" customHeight="1">
      <c r="A28" s="11" t="s">
        <v>37</v>
      </c>
      <c r="B28" s="11"/>
      <c r="C28" s="12">
        <v>1</v>
      </c>
      <c r="D28" s="13">
        <v>0.5</v>
      </c>
      <c r="E28" s="14">
        <v>0</v>
      </c>
      <c r="F28" s="15">
        <f t="shared" si="0"/>
        <v>457.5</v>
      </c>
    </row>
    <row r="29" spans="1:6" s="1" customFormat="1" ht="12.75" customHeight="1">
      <c r="A29" s="11" t="s">
        <v>38</v>
      </c>
      <c r="B29" s="11"/>
      <c r="C29" s="12">
        <v>2</v>
      </c>
      <c r="D29" s="13"/>
      <c r="E29" s="14">
        <f>5.5*E9</f>
        <v>167.2</v>
      </c>
      <c r="F29" s="15">
        <f t="shared" si="0"/>
        <v>334.4</v>
      </c>
    </row>
    <row r="30" spans="1:6" s="1" customFormat="1" ht="12.75" customHeight="1">
      <c r="A30" s="11" t="s">
        <v>39</v>
      </c>
      <c r="B30" s="11"/>
      <c r="C30" s="12">
        <v>1</v>
      </c>
      <c r="D30" s="13"/>
      <c r="E30" s="14">
        <f>7*E9</f>
        <v>212.79999999999998</v>
      </c>
      <c r="F30" s="15">
        <f t="shared" si="0"/>
        <v>212.79999999999998</v>
      </c>
    </row>
    <row r="31" spans="1:6" s="1" customFormat="1" ht="12.75" customHeight="1">
      <c r="A31" s="122" t="s">
        <v>40</v>
      </c>
      <c r="B31" s="122"/>
      <c r="C31" s="12">
        <v>1</v>
      </c>
      <c r="D31" s="16"/>
      <c r="E31" s="17">
        <f>18*E9</f>
        <v>547.19999999999993</v>
      </c>
      <c r="F31" s="15">
        <f t="shared" si="0"/>
        <v>547.19999999999993</v>
      </c>
    </row>
    <row r="32" spans="1:6" s="1" customFormat="1" ht="12.75" customHeight="1">
      <c r="A32" s="122" t="s">
        <v>41</v>
      </c>
      <c r="B32" s="122"/>
      <c r="C32" s="12">
        <v>1</v>
      </c>
      <c r="D32" s="16"/>
      <c r="E32" s="17">
        <f>11*E9</f>
        <v>334.4</v>
      </c>
      <c r="F32" s="15">
        <f>C32*D32*$C$21 +C32*E32</f>
        <v>334.4</v>
      </c>
    </row>
    <row r="33" spans="1:6" s="1" customFormat="1" ht="12.75" customHeight="1">
      <c r="A33" s="118"/>
      <c r="B33" s="118"/>
      <c r="C33" s="13"/>
      <c r="D33" s="12"/>
      <c r="E33" s="14">
        <v>0</v>
      </c>
      <c r="F33" s="15">
        <f>C33*D33*$C$21 +C33*E33</f>
        <v>0</v>
      </c>
    </row>
    <row r="34" spans="1:6" s="1" customFormat="1" ht="12.75" customHeight="1">
      <c r="A34" s="118"/>
      <c r="B34" s="118"/>
      <c r="C34" s="13"/>
      <c r="D34" s="12"/>
      <c r="E34" s="14">
        <v>0</v>
      </c>
      <c r="F34" s="15">
        <f t="shared" si="0"/>
        <v>0</v>
      </c>
    </row>
    <row r="35" spans="1:6" s="1" customFormat="1" ht="12.75" customHeight="1">
      <c r="A35" s="118"/>
      <c r="B35" s="118"/>
      <c r="C35" s="13"/>
      <c r="D35" s="12"/>
      <c r="E35" s="14">
        <v>0</v>
      </c>
      <c r="F35" s="15">
        <f t="shared" si="0"/>
        <v>0</v>
      </c>
    </row>
    <row r="36" spans="1:6" s="6" customFormat="1" ht="12.75" customHeight="1">
      <c r="A36" s="18" t="s">
        <v>42</v>
      </c>
      <c r="B36" s="18"/>
      <c r="C36" s="19"/>
      <c r="D36" s="18"/>
      <c r="E36" s="19"/>
      <c r="F36" s="20">
        <f>SUM(F23:F35)</f>
        <v>6095.2999999999993</v>
      </c>
    </row>
    <row r="37" spans="1:6" ht="12.75" customHeight="1">
      <c r="A37" s="21"/>
      <c r="B37" s="21"/>
      <c r="C37" s="21"/>
      <c r="D37" s="21"/>
      <c r="E37" s="21"/>
      <c r="F37" s="21"/>
    </row>
    <row r="38" spans="1:6" s="1" customFormat="1" ht="12.75" customHeight="1">
      <c r="A38" s="123" t="s">
        <v>43</v>
      </c>
      <c r="B38" s="123"/>
      <c r="C38" s="10" t="s">
        <v>4</v>
      </c>
      <c r="D38" s="9" t="s">
        <v>44</v>
      </c>
      <c r="E38" s="9" t="s">
        <v>45</v>
      </c>
      <c r="F38" s="9" t="s">
        <v>31</v>
      </c>
    </row>
    <row r="39" spans="1:6" s="1" customFormat="1" ht="12.75" customHeight="1">
      <c r="A39" s="11" t="s">
        <v>46</v>
      </c>
      <c r="B39" s="11"/>
      <c r="C39" s="4" t="s">
        <v>47</v>
      </c>
      <c r="D39" s="16">
        <v>130</v>
      </c>
      <c r="E39" s="23">
        <v>10</v>
      </c>
      <c r="F39" s="24">
        <f>D39*E39</f>
        <v>1300</v>
      </c>
    </row>
    <row r="40" spans="1:6" s="1" customFormat="1" ht="12.75" customHeight="1">
      <c r="A40" s="123" t="s">
        <v>48</v>
      </c>
      <c r="B40" s="123"/>
      <c r="C40" s="4"/>
      <c r="D40" s="9" t="s">
        <v>49</v>
      </c>
      <c r="E40" s="9" t="s">
        <v>45</v>
      </c>
      <c r="F40" s="9" t="s">
        <v>31</v>
      </c>
    </row>
    <row r="41" spans="1:6" s="1" customFormat="1" ht="12.75" customHeight="1">
      <c r="A41" s="122" t="s">
        <v>50</v>
      </c>
      <c r="B41" s="122"/>
      <c r="C41" s="4" t="s">
        <v>51</v>
      </c>
      <c r="D41" s="16">
        <f>0.25*130/100</f>
        <v>0.32500000000000001</v>
      </c>
      <c r="E41" s="17">
        <f>9*E9</f>
        <v>273.59999999999997</v>
      </c>
      <c r="F41" s="24">
        <f t="shared" ref="F41:F43" si="1">D41*E41</f>
        <v>88.919999999999987</v>
      </c>
    </row>
    <row r="42" spans="1:6" s="1" customFormat="1" ht="12.75" customHeight="1">
      <c r="A42" s="122" t="s">
        <v>52</v>
      </c>
      <c r="B42" s="122"/>
      <c r="C42" s="4" t="s">
        <v>51</v>
      </c>
      <c r="D42" s="16">
        <f>0.3*130/100</f>
        <v>0.39</v>
      </c>
      <c r="E42" s="17">
        <f>15*E9</f>
        <v>456</v>
      </c>
      <c r="F42" s="24">
        <f t="shared" si="1"/>
        <v>177.84</v>
      </c>
    </row>
    <row r="43" spans="1:6" s="1" customFormat="1" ht="12.75" customHeight="1">
      <c r="A43" s="118"/>
      <c r="B43" s="118"/>
      <c r="C43" s="25"/>
      <c r="D43" s="26"/>
      <c r="E43" s="27"/>
      <c r="F43" s="24">
        <f t="shared" si="1"/>
        <v>0</v>
      </c>
    </row>
    <row r="44" spans="1:6" s="6" customFormat="1" ht="12.75" customHeight="1">
      <c r="A44" s="18" t="s">
        <v>53</v>
      </c>
      <c r="B44" s="18"/>
      <c r="C44" s="5"/>
      <c r="D44" s="28"/>
      <c r="E44" s="29"/>
      <c r="F44" s="30">
        <f>SUM(F41:F43)</f>
        <v>266.76</v>
      </c>
    </row>
    <row r="45" spans="1:6" s="1" customFormat="1" ht="12.75" customHeight="1">
      <c r="A45" s="123" t="s">
        <v>54</v>
      </c>
      <c r="B45" s="123"/>
      <c r="C45" s="4"/>
      <c r="D45" s="9" t="s">
        <v>49</v>
      </c>
      <c r="E45" s="9" t="s">
        <v>45</v>
      </c>
      <c r="F45" s="9" t="s">
        <v>31</v>
      </c>
    </row>
    <row r="46" spans="1:6" s="1" customFormat="1" ht="12.75" customHeight="1">
      <c r="A46" s="124" t="s">
        <v>55</v>
      </c>
      <c r="B46" s="124"/>
      <c r="C46" s="4" t="s">
        <v>51</v>
      </c>
      <c r="D46" s="16"/>
      <c r="E46" s="17">
        <v>3773</v>
      </c>
      <c r="F46" s="24">
        <f t="shared" ref="F46:F56" si="2">D46*E46</f>
        <v>0</v>
      </c>
    </row>
    <row r="47" spans="1:6" s="1" customFormat="1" ht="12.75" customHeight="1">
      <c r="A47" s="122" t="s">
        <v>56</v>
      </c>
      <c r="B47" s="122"/>
      <c r="C47" s="4" t="s">
        <v>51</v>
      </c>
      <c r="D47" s="26"/>
      <c r="E47" s="17">
        <v>821</v>
      </c>
      <c r="F47" s="24">
        <f t="shared" si="2"/>
        <v>0</v>
      </c>
    </row>
    <row r="48" spans="1:6" s="1" customFormat="1" ht="12.75" customHeight="1">
      <c r="A48" s="122" t="s">
        <v>57</v>
      </c>
      <c r="B48" s="122"/>
      <c r="C48" s="4" t="s">
        <v>51</v>
      </c>
      <c r="D48" s="26"/>
      <c r="E48" s="17">
        <v>403.2</v>
      </c>
      <c r="F48" s="24">
        <f t="shared" si="2"/>
        <v>0</v>
      </c>
    </row>
    <row r="49" spans="1:6" s="1" customFormat="1" ht="12.75" customHeight="1">
      <c r="A49" s="122" t="s">
        <v>58</v>
      </c>
      <c r="B49" s="122"/>
      <c r="C49" s="4" t="s">
        <v>51</v>
      </c>
      <c r="D49" s="26">
        <v>4</v>
      </c>
      <c r="E49" s="17">
        <f>4*E9</f>
        <v>121.6</v>
      </c>
      <c r="F49" s="24">
        <f t="shared" si="2"/>
        <v>486.4</v>
      </c>
    </row>
    <row r="50" spans="1:6" s="1" customFormat="1" ht="12.75" customHeight="1">
      <c r="A50" s="122" t="s">
        <v>59</v>
      </c>
      <c r="B50" s="122"/>
      <c r="C50" s="4" t="s">
        <v>47</v>
      </c>
      <c r="D50" s="26">
        <v>0.28000000000000003</v>
      </c>
      <c r="E50" s="17">
        <f>496*E9/2.8</f>
        <v>5385.1428571428578</v>
      </c>
      <c r="F50" s="24">
        <f t="shared" si="2"/>
        <v>1507.8400000000004</v>
      </c>
    </row>
    <row r="51" spans="1:6" s="1" customFormat="1" ht="12.75" customHeight="1">
      <c r="A51" s="122" t="s">
        <v>60</v>
      </c>
      <c r="B51" s="122"/>
      <c r="C51" s="4" t="s">
        <v>51</v>
      </c>
      <c r="D51" s="26"/>
      <c r="E51" s="17">
        <f>13*E9</f>
        <v>395.2</v>
      </c>
      <c r="F51" s="24">
        <f t="shared" si="2"/>
        <v>0</v>
      </c>
    </row>
    <row r="52" spans="1:6" s="1" customFormat="1" ht="12.75" customHeight="1">
      <c r="A52" s="122" t="s">
        <v>61</v>
      </c>
      <c r="B52" s="122"/>
      <c r="C52" s="4" t="s">
        <v>51</v>
      </c>
      <c r="D52" s="26"/>
      <c r="E52" s="27"/>
      <c r="F52" s="24">
        <f t="shared" si="2"/>
        <v>0</v>
      </c>
    </row>
    <row r="53" spans="1:6" s="1" customFormat="1" ht="12.75" customHeight="1">
      <c r="A53" s="122" t="s">
        <v>62</v>
      </c>
      <c r="B53" s="122"/>
      <c r="C53" s="4" t="s">
        <v>51</v>
      </c>
      <c r="D53" s="26"/>
      <c r="E53" s="27"/>
      <c r="F53" s="24">
        <f t="shared" si="2"/>
        <v>0</v>
      </c>
    </row>
    <row r="54" spans="1:6" s="1" customFormat="1" ht="12.75" customHeight="1">
      <c r="A54" s="122" t="s">
        <v>63</v>
      </c>
      <c r="B54" s="122"/>
      <c r="C54" s="4" t="s">
        <v>51</v>
      </c>
      <c r="D54" s="26"/>
      <c r="E54" s="27"/>
      <c r="F54" s="24">
        <f t="shared" si="2"/>
        <v>0</v>
      </c>
    </row>
    <row r="55" spans="1:6" s="1" customFormat="1" ht="12.75" customHeight="1">
      <c r="A55" s="118"/>
      <c r="B55" s="118"/>
      <c r="C55" s="25"/>
      <c r="D55" s="26"/>
      <c r="E55" s="27"/>
      <c r="F55" s="24">
        <f t="shared" si="2"/>
        <v>0</v>
      </c>
    </row>
    <row r="56" spans="1:6" s="1" customFormat="1" ht="12.75" customHeight="1">
      <c r="A56" s="118"/>
      <c r="B56" s="118"/>
      <c r="C56" s="25"/>
      <c r="D56" s="26"/>
      <c r="E56" s="27"/>
      <c r="F56" s="24">
        <f t="shared" si="2"/>
        <v>0</v>
      </c>
    </row>
    <row r="57" spans="1:6" s="6" customFormat="1" ht="12.75" customHeight="1">
      <c r="A57" s="18" t="s">
        <v>64</v>
      </c>
      <c r="B57" s="18"/>
      <c r="C57" s="19"/>
      <c r="D57" s="28"/>
      <c r="E57" s="29"/>
      <c r="F57" s="30">
        <f>SUM(F46:F56)</f>
        <v>1994.2400000000002</v>
      </c>
    </row>
    <row r="58" spans="1:6" s="1" customFormat="1" ht="12.75" customHeight="1">
      <c r="A58" s="123" t="s">
        <v>65</v>
      </c>
      <c r="B58" s="123"/>
      <c r="C58" s="10" t="s">
        <v>4</v>
      </c>
      <c r="D58" s="9" t="s">
        <v>49</v>
      </c>
      <c r="E58" s="9" t="s">
        <v>45</v>
      </c>
      <c r="F58" s="9" t="s">
        <v>31</v>
      </c>
    </row>
    <row r="59" spans="1:6" s="1" customFormat="1" ht="12.75" customHeight="1">
      <c r="A59" s="11" t="s">
        <v>66</v>
      </c>
      <c r="B59" s="11"/>
      <c r="C59" s="4" t="s">
        <v>51</v>
      </c>
      <c r="D59" s="16">
        <v>4</v>
      </c>
      <c r="E59" s="17">
        <v>86.4</v>
      </c>
      <c r="F59" s="24">
        <f t="shared" ref="F59:F67" si="3">D59*E59</f>
        <v>345.6</v>
      </c>
    </row>
    <row r="60" spans="1:6" s="1" customFormat="1" ht="12.75" customHeight="1">
      <c r="A60" s="11" t="s">
        <v>67</v>
      </c>
      <c r="B60" s="11"/>
      <c r="C60" s="4" t="s">
        <v>47</v>
      </c>
      <c r="D60" s="16">
        <v>150</v>
      </c>
      <c r="E60" s="17">
        <f>490*E9/1000</f>
        <v>14.896000000000001</v>
      </c>
      <c r="F60" s="24">
        <f t="shared" si="3"/>
        <v>2234.4</v>
      </c>
    </row>
    <row r="61" spans="1:6" s="1" customFormat="1" ht="12.75" customHeight="1">
      <c r="A61" s="11" t="s">
        <v>68</v>
      </c>
      <c r="B61" s="11"/>
      <c r="C61" s="4" t="s">
        <v>47</v>
      </c>
      <c r="D61" s="16">
        <v>100</v>
      </c>
      <c r="E61" s="17">
        <f>520*E9/1000</f>
        <v>15.808</v>
      </c>
      <c r="F61" s="24">
        <f t="shared" si="3"/>
        <v>1580.8</v>
      </c>
    </row>
    <row r="62" spans="1:6" s="1" customFormat="1" ht="12.75" customHeight="1">
      <c r="A62" s="11" t="s">
        <v>69</v>
      </c>
      <c r="B62" s="11"/>
      <c r="C62" s="4" t="s">
        <v>47</v>
      </c>
      <c r="D62" s="16"/>
      <c r="E62" s="17">
        <v>6.8</v>
      </c>
      <c r="F62" s="24">
        <f t="shared" si="3"/>
        <v>0</v>
      </c>
    </row>
    <row r="63" spans="1:6" s="1" customFormat="1" ht="12.75" customHeight="1">
      <c r="A63" s="11" t="s">
        <v>70</v>
      </c>
      <c r="B63" s="11"/>
      <c r="C63" s="4" t="s">
        <v>47</v>
      </c>
      <c r="D63" s="16"/>
      <c r="E63" s="17">
        <v>7.2</v>
      </c>
      <c r="F63" s="24">
        <f t="shared" si="3"/>
        <v>0</v>
      </c>
    </row>
    <row r="64" spans="1:6" s="1" customFormat="1" ht="12.75" customHeight="1">
      <c r="A64" s="11" t="s">
        <v>71</v>
      </c>
      <c r="B64" s="11"/>
      <c r="C64" s="4" t="s">
        <v>47</v>
      </c>
      <c r="D64" s="16"/>
      <c r="E64" s="17">
        <f>0.42*14.4</f>
        <v>6.048</v>
      </c>
      <c r="F64" s="24">
        <f t="shared" si="3"/>
        <v>0</v>
      </c>
    </row>
    <row r="65" spans="1:6" s="1" customFormat="1" ht="12.75" customHeight="1">
      <c r="A65" s="11" t="s">
        <v>72</v>
      </c>
      <c r="B65" s="11"/>
      <c r="C65" s="4" t="s">
        <v>47</v>
      </c>
      <c r="D65" s="16"/>
      <c r="E65" s="17">
        <f>635*E9/1000</f>
        <v>19.303999999999998</v>
      </c>
      <c r="F65" s="24">
        <f t="shared" si="3"/>
        <v>0</v>
      </c>
    </row>
    <row r="66" spans="1:6" s="1" customFormat="1" ht="12.75" customHeight="1">
      <c r="A66" s="11" t="s">
        <v>73</v>
      </c>
      <c r="B66" s="11"/>
      <c r="C66" s="4" t="s">
        <v>47</v>
      </c>
      <c r="D66" s="16"/>
      <c r="E66" s="17">
        <v>8.1999999999999993</v>
      </c>
      <c r="F66" s="24">
        <f t="shared" si="3"/>
        <v>0</v>
      </c>
    </row>
    <row r="67" spans="1:6" s="1" customFormat="1" ht="12.75" customHeight="1">
      <c r="A67" s="118"/>
      <c r="B67" s="118"/>
      <c r="C67" s="25"/>
      <c r="D67" s="16"/>
      <c r="E67" s="27"/>
      <c r="F67" s="24">
        <f t="shared" si="3"/>
        <v>0</v>
      </c>
    </row>
    <row r="68" spans="1:6" s="6" customFormat="1" ht="12.75" customHeight="1">
      <c r="A68" s="18" t="s">
        <v>74</v>
      </c>
      <c r="B68" s="18"/>
      <c r="C68" s="19"/>
      <c r="D68" s="28"/>
      <c r="E68" s="29"/>
      <c r="F68" s="30">
        <f>SUM(F58:F67)</f>
        <v>4160.8</v>
      </c>
    </row>
    <row r="69" spans="1:6" s="1" customFormat="1" ht="12.75" customHeight="1">
      <c r="A69" s="123" t="s">
        <v>75</v>
      </c>
      <c r="B69" s="123"/>
      <c r="C69" s="10" t="s">
        <v>4</v>
      </c>
      <c r="D69" s="9" t="s">
        <v>49</v>
      </c>
      <c r="E69" s="9" t="s">
        <v>45</v>
      </c>
      <c r="F69" s="9" t="s">
        <v>31</v>
      </c>
    </row>
    <row r="70" spans="1:6" s="1" customFormat="1" ht="12.75" customHeight="1">
      <c r="A70" s="11" t="s">
        <v>76</v>
      </c>
      <c r="B70" s="11"/>
      <c r="C70" s="4" t="s">
        <v>51</v>
      </c>
      <c r="D70" s="16">
        <v>0.5</v>
      </c>
      <c r="E70" s="17">
        <f>41*E9</f>
        <v>1246.3999999999999</v>
      </c>
      <c r="F70" s="24">
        <f t="shared" ref="F70:F74" si="4">D70*E70</f>
        <v>623.19999999999993</v>
      </c>
    </row>
    <row r="71" spans="1:6" s="1" customFormat="1" ht="12.75" customHeight="1">
      <c r="A71" s="31" t="s">
        <v>77</v>
      </c>
      <c r="B71" s="11"/>
      <c r="C71" s="4" t="s">
        <v>51</v>
      </c>
      <c r="D71" s="16"/>
      <c r="E71" s="17"/>
      <c r="F71" s="24">
        <f t="shared" si="4"/>
        <v>0</v>
      </c>
    </row>
    <row r="72" spans="1:6" s="1" customFormat="1" ht="12.75" customHeight="1">
      <c r="A72" s="31" t="s">
        <v>78</v>
      </c>
      <c r="B72" s="11"/>
      <c r="C72" s="4" t="s">
        <v>51</v>
      </c>
      <c r="D72" s="16"/>
      <c r="E72" s="17"/>
      <c r="F72" s="24">
        <f t="shared" si="4"/>
        <v>0</v>
      </c>
    </row>
    <row r="73" spans="1:6" s="1" customFormat="1" ht="12.75" customHeight="1">
      <c r="A73" s="118"/>
      <c r="B73" s="118"/>
      <c r="C73" s="25"/>
      <c r="D73" s="16"/>
      <c r="E73" s="27"/>
      <c r="F73" s="24">
        <f t="shared" si="4"/>
        <v>0</v>
      </c>
    </row>
    <row r="74" spans="1:6" s="1" customFormat="1" ht="12.75" customHeight="1">
      <c r="A74" s="118"/>
      <c r="B74" s="118"/>
      <c r="C74" s="25"/>
      <c r="D74" s="16"/>
      <c r="E74" s="27"/>
      <c r="F74" s="24">
        <f t="shared" si="4"/>
        <v>0</v>
      </c>
    </row>
    <row r="75" spans="1:6" s="6" customFormat="1" ht="12.75" customHeight="1">
      <c r="A75" s="18" t="s">
        <v>79</v>
      </c>
      <c r="B75" s="18"/>
      <c r="C75" s="19"/>
      <c r="D75" s="28"/>
      <c r="E75" s="29"/>
      <c r="F75" s="30">
        <f>SUM(F70:F74)</f>
        <v>623.19999999999993</v>
      </c>
    </row>
    <row r="76" spans="1:6" s="6" customFormat="1" ht="12.75" customHeight="1">
      <c r="A76" s="123" t="s">
        <v>80</v>
      </c>
      <c r="B76" s="123"/>
      <c r="C76" s="10" t="s">
        <v>4</v>
      </c>
      <c r="D76" s="32" t="s">
        <v>81</v>
      </c>
      <c r="E76" s="9" t="s">
        <v>45</v>
      </c>
      <c r="F76" s="9" t="s">
        <v>31</v>
      </c>
    </row>
    <row r="77" spans="1:6" s="1" customFormat="1" ht="12.75" customHeight="1">
      <c r="A77" s="122" t="s">
        <v>82</v>
      </c>
      <c r="B77" s="122"/>
      <c r="C77" s="4" t="s">
        <v>51</v>
      </c>
      <c r="D77" s="16">
        <v>400</v>
      </c>
      <c r="E77" s="17">
        <f>(21.5389+0.454)+(3.9834*0.55)</f>
        <v>24.183770000000003</v>
      </c>
      <c r="F77" s="24">
        <f>D77*E77</f>
        <v>9673.5080000000016</v>
      </c>
    </row>
    <row r="78" spans="1:6" s="1" customFormat="1" ht="12.75" customHeight="1">
      <c r="A78" s="122" t="s">
        <v>83</v>
      </c>
      <c r="B78" s="122"/>
      <c r="C78" s="4" t="s">
        <v>51</v>
      </c>
      <c r="D78" s="16">
        <v>0</v>
      </c>
      <c r="E78" s="17"/>
      <c r="F78" s="24">
        <f>D78*E78</f>
        <v>0</v>
      </c>
    </row>
    <row r="79" spans="1:6" s="1" customFormat="1" ht="12.75" customHeight="1">
      <c r="A79" s="122" t="s">
        <v>84</v>
      </c>
      <c r="B79" s="122"/>
      <c r="C79" s="4" t="s">
        <v>51</v>
      </c>
      <c r="D79" s="16">
        <v>5</v>
      </c>
      <c r="E79" s="17">
        <v>216</v>
      </c>
      <c r="F79" s="24">
        <f>D79*E79</f>
        <v>1080</v>
      </c>
    </row>
    <row r="80" spans="1:6" s="1" customFormat="1" ht="12.75" customHeight="1">
      <c r="A80" s="122" t="s">
        <v>85</v>
      </c>
      <c r="B80" s="122"/>
      <c r="C80" s="4"/>
      <c r="D80" s="33"/>
      <c r="E80" s="17">
        <f>(12648.96*1.25*13*0.7)/70+(12648.96*1.25*0.65*13*0.7)/70</f>
        <v>3391.5023999999994</v>
      </c>
      <c r="F80" s="24">
        <f>E80</f>
        <v>3391.5023999999994</v>
      </c>
    </row>
    <row r="81" spans="1:6" s="1" customFormat="1" ht="12.75" customHeight="1">
      <c r="A81" s="122" t="s">
        <v>86</v>
      </c>
      <c r="B81" s="122"/>
      <c r="C81" s="4"/>
      <c r="D81" s="33"/>
      <c r="E81" s="17">
        <f>(571.23*1.25*60)/70</f>
        <v>612.03214285714284</v>
      </c>
      <c r="F81" s="24">
        <f>E81</f>
        <v>612.03214285714284</v>
      </c>
    </row>
    <row r="82" spans="1:6" s="1" customFormat="1" ht="12.75" customHeight="1">
      <c r="A82" s="122" t="s">
        <v>87</v>
      </c>
      <c r="B82" s="122"/>
      <c r="C82" s="4" t="s">
        <v>88</v>
      </c>
      <c r="D82" s="16">
        <v>1</v>
      </c>
      <c r="E82" s="17">
        <v>195</v>
      </c>
      <c r="F82" s="24">
        <f>D82*E82</f>
        <v>195</v>
      </c>
    </row>
    <row r="83" spans="1:6" s="1" customFormat="1" ht="12.75" customHeight="1">
      <c r="A83" s="122" t="s">
        <v>89</v>
      </c>
      <c r="B83" s="122"/>
      <c r="C83" s="7" t="s">
        <v>90</v>
      </c>
      <c r="D83" s="21"/>
      <c r="E83" s="34">
        <v>2.4199999999999999E-2</v>
      </c>
      <c r="F83" s="24">
        <f>E83*E11</f>
        <v>967.03199999999993</v>
      </c>
    </row>
    <row r="84" spans="1:6" s="1" customFormat="1" ht="12.75" customHeight="1">
      <c r="A84" s="118"/>
      <c r="B84" s="118"/>
      <c r="C84" s="25"/>
      <c r="D84" s="12"/>
      <c r="E84" s="35"/>
      <c r="F84" s="24">
        <f>E84*E12</f>
        <v>0</v>
      </c>
    </row>
    <row r="85" spans="1:6" s="1" customFormat="1" ht="12.75" customHeight="1">
      <c r="A85" s="118"/>
      <c r="B85" s="118"/>
      <c r="C85" s="25"/>
      <c r="D85" s="12"/>
      <c r="E85" s="35"/>
      <c r="F85" s="24">
        <f>E85*E13</f>
        <v>0</v>
      </c>
    </row>
    <row r="86" spans="1:6" s="1" customFormat="1" ht="12.75" customHeight="1">
      <c r="A86" s="118"/>
      <c r="B86" s="118"/>
      <c r="C86" s="25"/>
      <c r="D86" s="12"/>
      <c r="E86" s="35"/>
      <c r="F86" s="24">
        <f>E86*E14</f>
        <v>0</v>
      </c>
    </row>
    <row r="87" spans="1:6" s="38" customFormat="1" ht="12.75" customHeight="1">
      <c r="A87" s="18" t="s">
        <v>91</v>
      </c>
      <c r="B87" s="18"/>
      <c r="C87" s="36"/>
      <c r="D87" s="36"/>
      <c r="E87" s="36"/>
      <c r="F87" s="37">
        <f>SUM(F36,F39,F44,F57,F68,F75,F77:F86)</f>
        <v>30359.374542857146</v>
      </c>
    </row>
    <row r="88" spans="1:6" s="1" customFormat="1" ht="12.75" customHeight="1">
      <c r="A88" s="120"/>
      <c r="B88" s="120"/>
      <c r="C88" s="120"/>
      <c r="D88" s="120"/>
      <c r="E88" s="39"/>
    </row>
    <row r="89" spans="1:6" s="1" customFormat="1" ht="12.75" customHeight="1">
      <c r="A89" s="18" t="s">
        <v>92</v>
      </c>
      <c r="B89" s="18"/>
      <c r="C89" s="121" t="s">
        <v>4</v>
      </c>
      <c r="D89" s="121"/>
      <c r="E89" s="9" t="s">
        <v>45</v>
      </c>
      <c r="F89" s="9" t="s">
        <v>31</v>
      </c>
    </row>
    <row r="90" spans="1:6" s="1" customFormat="1" ht="12.75" customHeight="1">
      <c r="A90" s="11" t="s">
        <v>93</v>
      </c>
      <c r="B90" s="11"/>
      <c r="C90" s="117" t="s">
        <v>94</v>
      </c>
      <c r="D90" s="117"/>
      <c r="E90" s="40">
        <v>0.02</v>
      </c>
      <c r="F90" s="41">
        <f>E90*E11</f>
        <v>799.2</v>
      </c>
    </row>
    <row r="91" spans="1:6" s="1" customFormat="1" ht="12.75" customHeight="1">
      <c r="A91" s="11" t="s">
        <v>95</v>
      </c>
      <c r="B91" s="11"/>
      <c r="C91" s="117" t="s">
        <v>94</v>
      </c>
      <c r="D91" s="117"/>
      <c r="E91" s="40">
        <v>0.01</v>
      </c>
      <c r="F91" s="41">
        <f>E91*E11</f>
        <v>399.6</v>
      </c>
    </row>
    <row r="92" spans="1:6" s="1" customFormat="1" ht="12.75" customHeight="1">
      <c r="A92" s="11" t="s">
        <v>96</v>
      </c>
      <c r="B92" s="11"/>
      <c r="C92" s="117" t="s">
        <v>97</v>
      </c>
      <c r="D92" s="117"/>
      <c r="E92" s="42">
        <v>750</v>
      </c>
      <c r="F92" s="41">
        <f>E92*E$10</f>
        <v>4050.0000000000005</v>
      </c>
    </row>
    <row r="93" spans="1:6" s="1" customFormat="1" ht="12.75" customHeight="1">
      <c r="A93" s="11" t="s">
        <v>98</v>
      </c>
      <c r="B93" s="11"/>
      <c r="C93" s="117" t="s">
        <v>97</v>
      </c>
      <c r="D93" s="117"/>
      <c r="E93" s="42">
        <v>800</v>
      </c>
      <c r="F93" s="41">
        <f>E93*E$10</f>
        <v>4320</v>
      </c>
    </row>
    <row r="94" spans="1:6" s="1" customFormat="1" ht="12.75" customHeight="1">
      <c r="A94" s="118"/>
      <c r="B94" s="118"/>
      <c r="C94" s="119"/>
      <c r="D94" s="119"/>
      <c r="E94" s="42"/>
      <c r="F94" s="41"/>
    </row>
    <row r="95" spans="1:6" s="1" customFormat="1" ht="12.75" customHeight="1">
      <c r="A95" s="118"/>
      <c r="B95" s="118"/>
      <c r="C95" s="119"/>
      <c r="D95" s="119"/>
      <c r="E95" s="42"/>
      <c r="F95" s="41"/>
    </row>
    <row r="96" spans="1:6" s="1" customFormat="1" ht="12.75" customHeight="1">
      <c r="A96" s="118"/>
      <c r="B96" s="118"/>
      <c r="C96" s="119"/>
      <c r="D96" s="119"/>
      <c r="E96" s="42"/>
      <c r="F96" s="41"/>
    </row>
    <row r="97" spans="1:6" s="1" customFormat="1" ht="12.75" customHeight="1">
      <c r="A97" s="18" t="s">
        <v>99</v>
      </c>
      <c r="B97" s="18"/>
      <c r="C97" s="18"/>
      <c r="D97" s="21"/>
      <c r="E97" s="43"/>
      <c r="F97" s="44">
        <f>SUM(F90:F96)</f>
        <v>9568.8000000000011</v>
      </c>
    </row>
    <row r="98" spans="1:6" s="1" customFormat="1" ht="12.75" customHeight="1">
      <c r="A98" s="45"/>
      <c r="B98" s="45"/>
      <c r="C98" s="45"/>
      <c r="D98" s="107"/>
      <c r="E98" s="107"/>
      <c r="F98" s="107"/>
    </row>
    <row r="99" spans="1:6" s="1" customFormat="1" ht="12.75" customHeight="1">
      <c r="A99" s="11" t="s">
        <v>100</v>
      </c>
      <c r="B99" s="11"/>
      <c r="C99" s="11"/>
      <c r="D99" s="21"/>
      <c r="E99" s="46"/>
      <c r="F99" s="41">
        <f>SUM(F97,F87)</f>
        <v>39928.174542857145</v>
      </c>
    </row>
    <row r="100" spans="1:6" s="1" customFormat="1" ht="12.75" customHeight="1">
      <c r="A100" s="11" t="s">
        <v>101</v>
      </c>
      <c r="B100" s="11"/>
      <c r="C100" s="11"/>
      <c r="D100" s="21"/>
      <c r="E100" s="46"/>
      <c r="F100" s="47">
        <v>250</v>
      </c>
    </row>
    <row r="101" spans="1:6" s="1" customFormat="1" ht="12.75" customHeight="1">
      <c r="A101" s="11" t="s">
        <v>102</v>
      </c>
      <c r="B101" s="11"/>
      <c r="C101" s="11"/>
      <c r="D101" s="21"/>
      <c r="E101" s="46"/>
      <c r="F101" s="47">
        <v>350</v>
      </c>
    </row>
    <row r="102" spans="1:6" s="1" customFormat="1" ht="12.75" customHeight="1">
      <c r="A102" s="18" t="s">
        <v>103</v>
      </c>
      <c r="B102" s="18"/>
      <c r="C102" s="18"/>
      <c r="D102" s="21"/>
      <c r="E102" s="43"/>
      <c r="F102" s="44">
        <f>SUM(F99:F101)</f>
        <v>40528.174542857145</v>
      </c>
    </row>
    <row r="103" spans="1:6" ht="12.75" customHeight="1" thickBot="1"/>
    <row r="104" spans="1:6" ht="12.75" customHeight="1" thickBot="1">
      <c r="A104" s="108" t="s">
        <v>104</v>
      </c>
      <c r="B104" s="109"/>
      <c r="C104" s="109"/>
      <c r="D104" s="109"/>
      <c r="E104" s="109"/>
      <c r="F104" s="110"/>
    </row>
    <row r="105" spans="1:6" ht="12.75" customHeight="1">
      <c r="A105" s="3"/>
      <c r="B105" s="3"/>
      <c r="C105" s="111" t="s">
        <v>105</v>
      </c>
      <c r="D105" s="112"/>
      <c r="E105" s="111" t="s">
        <v>106</v>
      </c>
      <c r="F105" s="111"/>
    </row>
    <row r="106" spans="1:6" ht="12.75" customHeight="1">
      <c r="A106" s="48" t="s">
        <v>107</v>
      </c>
      <c r="B106" s="49"/>
      <c r="C106" s="50">
        <f>E16-F99+F93</f>
        <v>699.85145714285318</v>
      </c>
      <c r="D106" s="51">
        <f>(E16-F99+F93)/E9</f>
        <v>23.021429511278065</v>
      </c>
      <c r="E106" s="52">
        <f>E16-F99</f>
        <v>-3620.1485428571468</v>
      </c>
      <c r="F106" s="53">
        <f>(E16-F99)/E9</f>
        <v>-119.08383364661668</v>
      </c>
    </row>
    <row r="107" spans="1:6" ht="12.75" customHeight="1">
      <c r="A107" s="48" t="s">
        <v>108</v>
      </c>
      <c r="B107" s="54" t="s">
        <v>109</v>
      </c>
      <c r="C107" s="50">
        <f>E16-F102+F93</f>
        <v>99.851457142853178</v>
      </c>
      <c r="D107" s="51">
        <f>(E16-F102+F93)/E9</f>
        <v>3.2845874060149072</v>
      </c>
      <c r="E107" s="52">
        <f>E16-F102</f>
        <v>-4220.1485428571468</v>
      </c>
      <c r="F107" s="53">
        <f>(E16-F102)/E9</f>
        <v>-138.82067575187983</v>
      </c>
    </row>
    <row r="108" spans="1:6" ht="12.75" customHeight="1">
      <c r="A108" s="48" t="s">
        <v>110</v>
      </c>
      <c r="B108" s="49"/>
      <c r="C108" s="113">
        <f>C107/(F102-F93)</f>
        <v>2.7577048112344305E-3</v>
      </c>
      <c r="D108" s="114"/>
      <c r="E108" s="115">
        <f>E107/F102</f>
        <v>-0.10412875957180073</v>
      </c>
      <c r="F108" s="116"/>
    </row>
    <row r="109" spans="1:6" ht="12.75" customHeight="1">
      <c r="A109" s="48" t="s">
        <v>111</v>
      </c>
      <c r="B109" s="49"/>
      <c r="C109" s="104">
        <f>(F102-F93)/E17</f>
        <v>7379.6491061547349</v>
      </c>
      <c r="D109" s="105"/>
      <c r="E109" s="106">
        <f>F102/E17</f>
        <v>8260.1155903420058</v>
      </c>
      <c r="F109" s="104"/>
    </row>
    <row r="110" spans="1:6" ht="12.75" customHeight="1">
      <c r="A110" s="1" t="s">
        <v>112</v>
      </c>
    </row>
    <row r="111" spans="1:6" ht="12.75" customHeight="1">
      <c r="A111" s="1" t="s">
        <v>113</v>
      </c>
    </row>
    <row r="112" spans="1:6" ht="12.75" customHeight="1">
      <c r="A112" s="1" t="s">
        <v>114</v>
      </c>
    </row>
  </sheetData>
  <mergeCells count="88">
    <mergeCell ref="A7:C7"/>
    <mergeCell ref="E7:F7"/>
    <mergeCell ref="A1:F1"/>
    <mergeCell ref="A3:F3"/>
    <mergeCell ref="A5:F5"/>
    <mergeCell ref="A6:C6"/>
    <mergeCell ref="E6:F6"/>
    <mergeCell ref="A8:C8"/>
    <mergeCell ref="E8:F8"/>
    <mergeCell ref="A9:C9"/>
    <mergeCell ref="E9:F9"/>
    <mergeCell ref="A10:C10"/>
    <mergeCell ref="E10:F10"/>
    <mergeCell ref="A11:C11"/>
    <mergeCell ref="E11:F11"/>
    <mergeCell ref="A12:C12"/>
    <mergeCell ref="E12:F12"/>
    <mergeCell ref="A13:C13"/>
    <mergeCell ref="E13:F13"/>
    <mergeCell ref="A31:B31"/>
    <mergeCell ref="A14:C14"/>
    <mergeCell ref="E14:F14"/>
    <mergeCell ref="A15:C15"/>
    <mergeCell ref="E15:F15"/>
    <mergeCell ref="A16:C16"/>
    <mergeCell ref="E16:F16"/>
    <mergeCell ref="A17:C17"/>
    <mergeCell ref="E17:F17"/>
    <mergeCell ref="A18:C18"/>
    <mergeCell ref="A19:F19"/>
    <mergeCell ref="D20:F21"/>
    <mergeCell ref="A47:B47"/>
    <mergeCell ref="A32:B32"/>
    <mergeCell ref="A33:B33"/>
    <mergeCell ref="A34:B34"/>
    <mergeCell ref="A35:B35"/>
    <mergeCell ref="A38:B38"/>
    <mergeCell ref="A40:B40"/>
    <mergeCell ref="A41:B41"/>
    <mergeCell ref="A42:B42"/>
    <mergeCell ref="A43:B43"/>
    <mergeCell ref="A45:B45"/>
    <mergeCell ref="A46:B46"/>
    <mergeCell ref="A69:B69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8:B58"/>
    <mergeCell ref="A67:B67"/>
    <mergeCell ref="A85:B85"/>
    <mergeCell ref="A73:B73"/>
    <mergeCell ref="A74:B74"/>
    <mergeCell ref="A76:B76"/>
    <mergeCell ref="A77:B77"/>
    <mergeCell ref="A78:B78"/>
    <mergeCell ref="A79:B79"/>
    <mergeCell ref="A80:B80"/>
    <mergeCell ref="A81:B81"/>
    <mergeCell ref="A82:B82"/>
    <mergeCell ref="A83:B83"/>
    <mergeCell ref="A84:B84"/>
    <mergeCell ref="A96:B96"/>
    <mergeCell ref="C96:D96"/>
    <mergeCell ref="A86:B86"/>
    <mergeCell ref="A88:D88"/>
    <mergeCell ref="C89:D89"/>
    <mergeCell ref="C90:D90"/>
    <mergeCell ref="C91:D91"/>
    <mergeCell ref="C92:D92"/>
    <mergeCell ref="C93:D93"/>
    <mergeCell ref="A94:B94"/>
    <mergeCell ref="C94:D94"/>
    <mergeCell ref="A95:B95"/>
    <mergeCell ref="C95:D95"/>
    <mergeCell ref="C109:D109"/>
    <mergeCell ref="E109:F109"/>
    <mergeCell ref="D98:F98"/>
    <mergeCell ref="A104:F104"/>
    <mergeCell ref="C105:D105"/>
    <mergeCell ref="E105:F105"/>
    <mergeCell ref="C108:D108"/>
    <mergeCell ref="E108:F10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H116"/>
  <sheetViews>
    <sheetView workbookViewId="0">
      <selection activeCell="L13" sqref="L13"/>
    </sheetView>
  </sheetViews>
  <sheetFormatPr defaultColWidth="9.140625" defaultRowHeight="11.25"/>
  <cols>
    <col min="1" max="2" width="15.7109375" style="55" customWidth="1"/>
    <col min="3" max="6" width="13.7109375" style="55" customWidth="1"/>
    <col min="7" max="8" width="9.28515625" style="55" customWidth="1"/>
    <col min="9" max="9" width="1.7109375" style="69" customWidth="1"/>
    <col min="10" max="16384" width="9.140625" style="69"/>
  </cols>
  <sheetData>
    <row r="1" spans="1:6" s="55" customFormat="1" ht="18.75" customHeight="1">
      <c r="A1" s="138" t="s">
        <v>0</v>
      </c>
      <c r="B1" s="138"/>
      <c r="C1" s="138"/>
      <c r="D1" s="138"/>
      <c r="E1" s="138"/>
      <c r="F1" s="138"/>
    </row>
    <row r="2" spans="1:6" s="55" customFormat="1" ht="12.75" customHeight="1">
      <c r="A2" s="2"/>
      <c r="B2" s="2"/>
      <c r="C2" s="2"/>
      <c r="D2" s="2"/>
      <c r="E2" s="2"/>
      <c r="F2" s="2"/>
    </row>
    <row r="3" spans="1:6" s="55" customFormat="1" ht="12.75" customHeight="1">
      <c r="A3" s="139" t="s">
        <v>115</v>
      </c>
      <c r="B3" s="139"/>
      <c r="C3" s="139"/>
      <c r="D3" s="139"/>
      <c r="E3" s="139"/>
      <c r="F3" s="139"/>
    </row>
    <row r="4" spans="1:6" s="55" customFormat="1" ht="12.75" customHeight="1" thickBot="1">
      <c r="A4" s="2"/>
      <c r="B4" s="2"/>
      <c r="C4" s="2"/>
      <c r="D4" s="2"/>
      <c r="E4" s="2"/>
      <c r="F4" s="2"/>
    </row>
    <row r="5" spans="1:6" s="55" customFormat="1" ht="12.75" customHeight="1" thickBot="1">
      <c r="A5" s="149" t="s">
        <v>2</v>
      </c>
      <c r="B5" s="150"/>
      <c r="C5" s="150"/>
      <c r="D5" s="150"/>
      <c r="E5" s="150"/>
      <c r="F5" s="151"/>
    </row>
    <row r="6" spans="1:6" s="55" customFormat="1" ht="12.75" customHeight="1">
      <c r="A6" s="152" t="s">
        <v>3</v>
      </c>
      <c r="B6" s="152"/>
      <c r="C6" s="152"/>
      <c r="D6" s="56" t="s">
        <v>4</v>
      </c>
      <c r="E6" s="152" t="s">
        <v>5</v>
      </c>
      <c r="F6" s="152"/>
    </row>
    <row r="7" spans="1:6" s="55" customFormat="1" ht="12.75" customHeight="1">
      <c r="A7" s="157" t="s">
        <v>6</v>
      </c>
      <c r="B7" s="157"/>
      <c r="C7" s="157"/>
      <c r="D7" s="57" t="s">
        <v>7</v>
      </c>
      <c r="E7" s="140">
        <v>7400</v>
      </c>
      <c r="F7" s="140"/>
    </row>
    <row r="8" spans="1:6" s="55" customFormat="1" ht="12.75" customHeight="1">
      <c r="A8" s="157" t="s">
        <v>8</v>
      </c>
      <c r="B8" s="157"/>
      <c r="C8" s="157"/>
      <c r="D8" s="57" t="s">
        <v>9</v>
      </c>
      <c r="E8" s="168">
        <f>E10/E9</f>
        <v>0.17763157894736845</v>
      </c>
      <c r="F8" s="168"/>
    </row>
    <row r="9" spans="1:6" s="55" customFormat="1" ht="12.75" customHeight="1">
      <c r="A9" s="157" t="s">
        <v>10</v>
      </c>
      <c r="B9" s="157"/>
      <c r="C9" s="157"/>
      <c r="D9" s="57" t="s">
        <v>11</v>
      </c>
      <c r="E9" s="136">
        <v>30.4</v>
      </c>
      <c r="F9" s="136"/>
    </row>
    <row r="10" spans="1:6" s="55" customFormat="1" ht="12.75" customHeight="1">
      <c r="A10" s="157" t="s">
        <v>12</v>
      </c>
      <c r="B10" s="157"/>
      <c r="C10" s="157"/>
      <c r="D10" s="57" t="s">
        <v>13</v>
      </c>
      <c r="E10" s="137">
        <v>5.4</v>
      </c>
      <c r="F10" s="137"/>
    </row>
    <row r="11" spans="1:6" s="55" customFormat="1" ht="12.75" customHeight="1">
      <c r="A11" s="157" t="s">
        <v>14</v>
      </c>
      <c r="B11" s="157"/>
      <c r="C11" s="157"/>
      <c r="D11" s="57" t="s">
        <v>15</v>
      </c>
      <c r="E11" s="165">
        <f>E7*E10</f>
        <v>39960</v>
      </c>
      <c r="F11" s="165"/>
    </row>
    <row r="12" spans="1:6" s="55" customFormat="1" ht="12.75" customHeight="1">
      <c r="A12" s="157" t="s">
        <v>16</v>
      </c>
      <c r="B12" s="157"/>
      <c r="C12" s="157"/>
      <c r="D12" s="57" t="s">
        <v>17</v>
      </c>
      <c r="E12" s="134">
        <f>(5.94%+0.5%)</f>
        <v>6.4399999999999999E-2</v>
      </c>
      <c r="F12" s="134"/>
    </row>
    <row r="13" spans="1:6" s="55" customFormat="1" ht="12.75" customHeight="1">
      <c r="A13" s="157" t="s">
        <v>16</v>
      </c>
      <c r="B13" s="157"/>
      <c r="C13" s="157"/>
      <c r="D13" s="57" t="s">
        <v>15</v>
      </c>
      <c r="E13" s="165">
        <f>E11*E12</f>
        <v>2573.424</v>
      </c>
      <c r="F13" s="165"/>
    </row>
    <row r="14" spans="1:6" s="55" customFormat="1" ht="12.75" customHeight="1">
      <c r="A14" s="157" t="s">
        <v>18</v>
      </c>
      <c r="B14" s="157"/>
      <c r="C14" s="157"/>
      <c r="D14" s="57" t="s">
        <v>19</v>
      </c>
      <c r="E14" s="130">
        <v>145.75</v>
      </c>
      <c r="F14" s="130"/>
    </row>
    <row r="15" spans="1:6" s="55" customFormat="1" ht="12.75" customHeight="1">
      <c r="A15" s="157" t="s">
        <v>20</v>
      </c>
      <c r="B15" s="157"/>
      <c r="C15" s="157"/>
      <c r="D15" s="57" t="s">
        <v>15</v>
      </c>
      <c r="E15" s="165">
        <f>E7/1000*E14</f>
        <v>1078.55</v>
      </c>
      <c r="F15" s="165"/>
    </row>
    <row r="16" spans="1:6" s="59" customFormat="1" ht="12.75" customHeight="1">
      <c r="A16" s="166" t="s">
        <v>21</v>
      </c>
      <c r="B16" s="166"/>
      <c r="C16" s="166"/>
      <c r="D16" s="58" t="s">
        <v>15</v>
      </c>
      <c r="E16" s="167">
        <f>E11-E13-E15</f>
        <v>36308.025999999998</v>
      </c>
      <c r="F16" s="167"/>
    </row>
    <row r="17" spans="1:6" s="55" customFormat="1" ht="12.75" customHeight="1">
      <c r="A17" s="160" t="s">
        <v>22</v>
      </c>
      <c r="B17" s="160"/>
      <c r="C17" s="160"/>
      <c r="D17" s="57" t="s">
        <v>13</v>
      </c>
      <c r="E17" s="161">
        <f>E16/E7</f>
        <v>4.9064899999999998</v>
      </c>
      <c r="F17" s="161"/>
    </row>
    <row r="18" spans="1:6" s="55" customFormat="1" ht="12.75" customHeight="1" thickBot="1">
      <c r="A18" s="162"/>
      <c r="B18" s="162"/>
      <c r="C18" s="162"/>
    </row>
    <row r="19" spans="1:6" s="55" customFormat="1" ht="12.75" customHeight="1" thickBot="1">
      <c r="A19" s="149" t="s">
        <v>23</v>
      </c>
      <c r="B19" s="150"/>
      <c r="C19" s="150"/>
      <c r="D19" s="150"/>
      <c r="E19" s="150"/>
      <c r="F19" s="151"/>
    </row>
    <row r="20" spans="1:6" s="55" customFormat="1" ht="12.75" customHeight="1">
      <c r="A20" s="56" t="s">
        <v>3</v>
      </c>
      <c r="B20" s="56" t="s">
        <v>4</v>
      </c>
      <c r="C20" s="56" t="s">
        <v>24</v>
      </c>
      <c r="D20" s="163" t="s">
        <v>25</v>
      </c>
      <c r="E20" s="163"/>
      <c r="F20" s="163"/>
    </row>
    <row r="21" spans="1:6" s="55" customFormat="1" ht="12.75" customHeight="1">
      <c r="A21" s="60" t="s">
        <v>26</v>
      </c>
      <c r="B21" s="57" t="s">
        <v>15</v>
      </c>
      <c r="C21" s="8">
        <v>915</v>
      </c>
      <c r="D21" s="164"/>
      <c r="E21" s="164"/>
      <c r="F21" s="164"/>
    </row>
    <row r="22" spans="1:6" s="55" customFormat="1" ht="12.75" customHeight="1">
      <c r="A22" s="61" t="s">
        <v>27</v>
      </c>
      <c r="B22" s="61"/>
      <c r="C22" s="62" t="s">
        <v>28</v>
      </c>
      <c r="D22" s="61" t="s">
        <v>29</v>
      </c>
      <c r="E22" s="62" t="s">
        <v>30</v>
      </c>
      <c r="F22" s="61" t="s">
        <v>31</v>
      </c>
    </row>
    <row r="23" spans="1:6" s="55" customFormat="1" ht="12.75" customHeight="1">
      <c r="A23" s="63" t="s">
        <v>32</v>
      </c>
      <c r="B23" s="63"/>
      <c r="C23" s="12">
        <v>1</v>
      </c>
      <c r="D23" s="13">
        <v>1.5</v>
      </c>
      <c r="E23" s="14">
        <v>0</v>
      </c>
      <c r="F23" s="64">
        <f t="shared" ref="F23:F34" si="0">C23*D23*$C$21 +C23*E23</f>
        <v>1372.5</v>
      </c>
    </row>
    <row r="24" spans="1:6" s="55" customFormat="1" ht="12.75" customHeight="1">
      <c r="A24" s="63" t="s">
        <v>33</v>
      </c>
      <c r="B24" s="63"/>
      <c r="C24" s="12">
        <v>1</v>
      </c>
      <c r="D24" s="13">
        <v>1</v>
      </c>
      <c r="E24" s="14">
        <v>0</v>
      </c>
      <c r="F24" s="64">
        <f t="shared" si="0"/>
        <v>915</v>
      </c>
    </row>
    <row r="25" spans="1:6" s="55" customFormat="1" ht="12.75" customHeight="1">
      <c r="A25" s="63" t="s">
        <v>34</v>
      </c>
      <c r="B25" s="63"/>
      <c r="C25" s="12">
        <v>1</v>
      </c>
      <c r="D25" s="13">
        <v>0.55000000000000004</v>
      </c>
      <c r="E25" s="14">
        <v>0</v>
      </c>
      <c r="F25" s="64">
        <f t="shared" si="0"/>
        <v>503.25000000000006</v>
      </c>
    </row>
    <row r="26" spans="1:6" s="55" customFormat="1" ht="12.75" customHeight="1">
      <c r="A26" s="63" t="s">
        <v>35</v>
      </c>
      <c r="B26" s="63"/>
      <c r="C26" s="12">
        <v>1</v>
      </c>
      <c r="D26" s="13">
        <v>0.55000000000000004</v>
      </c>
      <c r="E26" s="14">
        <v>0</v>
      </c>
      <c r="F26" s="64">
        <f t="shared" si="0"/>
        <v>503.25000000000006</v>
      </c>
    </row>
    <row r="27" spans="1:6" s="55" customFormat="1" ht="12.75" customHeight="1">
      <c r="A27" s="63" t="s">
        <v>36</v>
      </c>
      <c r="B27" s="63"/>
      <c r="C27" s="12">
        <v>1</v>
      </c>
      <c r="D27" s="13">
        <v>1</v>
      </c>
      <c r="E27" s="14">
        <v>0</v>
      </c>
      <c r="F27" s="64">
        <f t="shared" si="0"/>
        <v>915</v>
      </c>
    </row>
    <row r="28" spans="1:6" s="55" customFormat="1" ht="12.75" customHeight="1">
      <c r="A28" s="63" t="s">
        <v>37</v>
      </c>
      <c r="B28" s="63"/>
      <c r="C28" s="12">
        <v>1</v>
      </c>
      <c r="D28" s="13">
        <v>0.5</v>
      </c>
      <c r="E28" s="14">
        <v>0</v>
      </c>
      <c r="F28" s="64">
        <f t="shared" si="0"/>
        <v>457.5</v>
      </c>
    </row>
    <row r="29" spans="1:6" s="55" customFormat="1" ht="12.75" customHeight="1">
      <c r="A29" s="63" t="s">
        <v>38</v>
      </c>
      <c r="B29" s="63"/>
      <c r="C29" s="12">
        <v>2</v>
      </c>
      <c r="D29" s="13"/>
      <c r="E29" s="14">
        <f>5.5*E9</f>
        <v>167.2</v>
      </c>
      <c r="F29" s="64">
        <f t="shared" si="0"/>
        <v>334.4</v>
      </c>
    </row>
    <row r="30" spans="1:6" s="55" customFormat="1" ht="12.75" customHeight="1">
      <c r="A30" s="63" t="s">
        <v>39</v>
      </c>
      <c r="B30" s="63"/>
      <c r="C30" s="12">
        <v>1</v>
      </c>
      <c r="D30" s="13"/>
      <c r="E30" s="14">
        <f>7*E9</f>
        <v>212.79999999999998</v>
      </c>
      <c r="F30" s="64">
        <f t="shared" si="0"/>
        <v>212.79999999999998</v>
      </c>
    </row>
    <row r="31" spans="1:6" s="55" customFormat="1" ht="12.75" customHeight="1">
      <c r="A31" s="157" t="s">
        <v>40</v>
      </c>
      <c r="B31" s="157"/>
      <c r="C31" s="12">
        <v>1</v>
      </c>
      <c r="D31" s="16"/>
      <c r="E31" s="17">
        <f>18*E9</f>
        <v>547.19999999999993</v>
      </c>
      <c r="F31" s="64">
        <f t="shared" si="0"/>
        <v>547.19999999999993</v>
      </c>
    </row>
    <row r="32" spans="1:6" s="55" customFormat="1" ht="12.75" customHeight="1">
      <c r="A32" s="157" t="s">
        <v>41</v>
      </c>
      <c r="B32" s="157"/>
      <c r="C32" s="12">
        <v>1</v>
      </c>
      <c r="D32" s="16"/>
      <c r="E32" s="17">
        <f>11*E9</f>
        <v>334.4</v>
      </c>
      <c r="F32" s="64">
        <f t="shared" si="0"/>
        <v>334.4</v>
      </c>
    </row>
    <row r="33" spans="1:6" s="55" customFormat="1" ht="12.75" customHeight="1">
      <c r="A33" s="118"/>
      <c r="B33" s="118"/>
      <c r="C33" s="13"/>
      <c r="D33" s="12"/>
      <c r="E33" s="14">
        <v>0</v>
      </c>
      <c r="F33" s="64">
        <f t="shared" si="0"/>
        <v>0</v>
      </c>
    </row>
    <row r="34" spans="1:6" s="55" customFormat="1" ht="12.75" customHeight="1">
      <c r="A34" s="118"/>
      <c r="B34" s="118"/>
      <c r="C34" s="13"/>
      <c r="D34" s="12"/>
      <c r="E34" s="14">
        <v>0</v>
      </c>
      <c r="F34" s="64">
        <f t="shared" si="0"/>
        <v>0</v>
      </c>
    </row>
    <row r="35" spans="1:6" s="59" customFormat="1" ht="12.75" customHeight="1">
      <c r="A35" s="65" t="s">
        <v>42</v>
      </c>
      <c r="B35" s="65"/>
      <c r="C35" s="66"/>
      <c r="D35" s="65"/>
      <c r="E35" s="66"/>
      <c r="F35" s="67">
        <f>SUM(F23:F34)</f>
        <v>6095.2999999999993</v>
      </c>
    </row>
    <row r="36" spans="1:6" ht="12.75" customHeight="1">
      <c r="A36" s="68"/>
      <c r="B36" s="68"/>
      <c r="C36" s="68"/>
      <c r="D36" s="68"/>
      <c r="E36" s="68"/>
      <c r="F36" s="68"/>
    </row>
    <row r="37" spans="1:6" s="55" customFormat="1" ht="12.75" customHeight="1">
      <c r="A37" s="158" t="s">
        <v>43</v>
      </c>
      <c r="B37" s="158"/>
      <c r="C37" s="62" t="s">
        <v>4</v>
      </c>
      <c r="D37" s="61" t="s">
        <v>44</v>
      </c>
      <c r="E37" s="61" t="s">
        <v>45</v>
      </c>
      <c r="F37" s="61" t="s">
        <v>31</v>
      </c>
    </row>
    <row r="38" spans="1:6" s="55" customFormat="1" ht="12.75" customHeight="1">
      <c r="A38" s="63" t="s">
        <v>46</v>
      </c>
      <c r="B38" s="63"/>
      <c r="C38" s="57" t="s">
        <v>47</v>
      </c>
      <c r="D38" s="16">
        <v>130</v>
      </c>
      <c r="E38" s="23">
        <v>10</v>
      </c>
      <c r="F38" s="70">
        <f>D38*E38</f>
        <v>1300</v>
      </c>
    </row>
    <row r="39" spans="1:6" s="55" customFormat="1" ht="12.75" customHeight="1">
      <c r="A39" s="158" t="s">
        <v>48</v>
      </c>
      <c r="B39" s="158"/>
      <c r="C39" s="57"/>
      <c r="D39" s="61" t="s">
        <v>49</v>
      </c>
      <c r="E39" s="61" t="s">
        <v>45</v>
      </c>
      <c r="F39" s="61" t="s">
        <v>31</v>
      </c>
    </row>
    <row r="40" spans="1:6" s="55" customFormat="1" ht="12.75" customHeight="1">
      <c r="A40" s="157" t="s">
        <v>50</v>
      </c>
      <c r="B40" s="157"/>
      <c r="C40" s="57" t="s">
        <v>51</v>
      </c>
      <c r="D40" s="16">
        <f>0.25*130/100</f>
        <v>0.32500000000000001</v>
      </c>
      <c r="E40" s="17">
        <f>9*E9</f>
        <v>273.59999999999997</v>
      </c>
      <c r="F40" s="70">
        <f t="shared" ref="F40:F43" si="1">D40*E40</f>
        <v>88.919999999999987</v>
      </c>
    </row>
    <row r="41" spans="1:6" s="55" customFormat="1" ht="12.75" customHeight="1">
      <c r="A41" s="157" t="s">
        <v>52</v>
      </c>
      <c r="B41" s="157"/>
      <c r="C41" s="57" t="s">
        <v>51</v>
      </c>
      <c r="D41" s="16">
        <f>0.3*130/100</f>
        <v>0.39</v>
      </c>
      <c r="E41" s="17">
        <f>15*E9</f>
        <v>456</v>
      </c>
      <c r="F41" s="70">
        <f t="shared" si="1"/>
        <v>177.84</v>
      </c>
    </row>
    <row r="42" spans="1:6" s="55" customFormat="1" ht="12.75" customHeight="1">
      <c r="A42" s="118"/>
      <c r="B42" s="118"/>
      <c r="C42" s="25"/>
      <c r="D42" s="26"/>
      <c r="E42" s="27"/>
      <c r="F42" s="70">
        <f t="shared" si="1"/>
        <v>0</v>
      </c>
    </row>
    <row r="43" spans="1:6" s="55" customFormat="1" ht="12.75" customHeight="1">
      <c r="A43" s="118"/>
      <c r="B43" s="118"/>
      <c r="C43" s="25"/>
      <c r="D43" s="26"/>
      <c r="E43" s="27"/>
      <c r="F43" s="70">
        <f t="shared" si="1"/>
        <v>0</v>
      </c>
    </row>
    <row r="44" spans="1:6" s="59" customFormat="1" ht="12.75" customHeight="1">
      <c r="A44" s="65" t="s">
        <v>53</v>
      </c>
      <c r="B44" s="65"/>
      <c r="C44" s="58"/>
      <c r="D44" s="71"/>
      <c r="E44" s="72"/>
      <c r="F44" s="73">
        <f>SUM(F40:F43)</f>
        <v>266.76</v>
      </c>
    </row>
    <row r="45" spans="1:6" s="55" customFormat="1" ht="12.75" customHeight="1">
      <c r="A45" s="158" t="s">
        <v>54</v>
      </c>
      <c r="B45" s="158"/>
      <c r="C45" s="57"/>
      <c r="D45" s="61" t="s">
        <v>49</v>
      </c>
      <c r="E45" s="61" t="s">
        <v>45</v>
      </c>
      <c r="F45" s="61" t="s">
        <v>31</v>
      </c>
    </row>
    <row r="46" spans="1:6" s="55" customFormat="1" ht="12.75" customHeight="1">
      <c r="A46" s="159" t="s">
        <v>55</v>
      </c>
      <c r="B46" s="159"/>
      <c r="C46" s="57" t="s">
        <v>51</v>
      </c>
      <c r="D46" s="16"/>
      <c r="E46" s="17">
        <v>3773</v>
      </c>
      <c r="F46" s="70">
        <f t="shared" ref="F46:F57" si="2">D46*E46</f>
        <v>0</v>
      </c>
    </row>
    <row r="47" spans="1:6" s="55" customFormat="1" ht="12.75" customHeight="1">
      <c r="A47" s="157" t="s">
        <v>56</v>
      </c>
      <c r="B47" s="157"/>
      <c r="C47" s="57" t="s">
        <v>51</v>
      </c>
      <c r="D47" s="26"/>
      <c r="E47" s="17">
        <v>821</v>
      </c>
      <c r="F47" s="70">
        <f t="shared" si="2"/>
        <v>0</v>
      </c>
    </row>
    <row r="48" spans="1:6" s="55" customFormat="1" ht="12.75" customHeight="1">
      <c r="A48" s="157" t="s">
        <v>57</v>
      </c>
      <c r="B48" s="157"/>
      <c r="C48" s="57" t="s">
        <v>51</v>
      </c>
      <c r="D48" s="26"/>
      <c r="E48" s="17">
        <v>403.2</v>
      </c>
      <c r="F48" s="70">
        <f t="shared" si="2"/>
        <v>0</v>
      </c>
    </row>
    <row r="49" spans="1:6" s="55" customFormat="1" ht="12.75" customHeight="1">
      <c r="A49" s="157" t="s">
        <v>58</v>
      </c>
      <c r="B49" s="157"/>
      <c r="C49" s="57" t="s">
        <v>51</v>
      </c>
      <c r="D49" s="26">
        <v>4</v>
      </c>
      <c r="E49" s="17">
        <f>4*E9</f>
        <v>121.6</v>
      </c>
      <c r="F49" s="70">
        <f t="shared" si="2"/>
        <v>486.4</v>
      </c>
    </row>
    <row r="50" spans="1:6" s="55" customFormat="1" ht="12.75" customHeight="1">
      <c r="A50" s="157" t="s">
        <v>59</v>
      </c>
      <c r="B50" s="157"/>
      <c r="C50" s="57" t="s">
        <v>47</v>
      </c>
      <c r="D50" s="26">
        <v>0.28000000000000003</v>
      </c>
      <c r="E50" s="17">
        <f>496*E9/2.8</f>
        <v>5385.1428571428578</v>
      </c>
      <c r="F50" s="70">
        <f t="shared" si="2"/>
        <v>1507.8400000000004</v>
      </c>
    </row>
    <row r="51" spans="1:6" s="55" customFormat="1" ht="12.75" customHeight="1">
      <c r="A51" s="157" t="s">
        <v>60</v>
      </c>
      <c r="B51" s="157"/>
      <c r="C51" s="57" t="s">
        <v>51</v>
      </c>
      <c r="D51" s="26"/>
      <c r="E51" s="17">
        <v>245</v>
      </c>
      <c r="F51" s="70">
        <f t="shared" si="2"/>
        <v>0</v>
      </c>
    </row>
    <row r="52" spans="1:6" s="55" customFormat="1" ht="12.75" customHeight="1">
      <c r="A52" s="157" t="s">
        <v>61</v>
      </c>
      <c r="B52" s="157"/>
      <c r="C52" s="57" t="s">
        <v>51</v>
      </c>
      <c r="D52" s="26"/>
      <c r="E52" s="27"/>
      <c r="F52" s="70">
        <f t="shared" si="2"/>
        <v>0</v>
      </c>
    </row>
    <row r="53" spans="1:6" s="55" customFormat="1" ht="12.75" customHeight="1">
      <c r="A53" s="157" t="s">
        <v>62</v>
      </c>
      <c r="B53" s="157"/>
      <c r="C53" s="57" t="s">
        <v>51</v>
      </c>
      <c r="D53" s="26"/>
      <c r="E53" s="27"/>
      <c r="F53" s="70">
        <f t="shared" si="2"/>
        <v>0</v>
      </c>
    </row>
    <row r="54" spans="1:6" s="55" customFormat="1" ht="12.75" customHeight="1">
      <c r="A54" s="157" t="s">
        <v>63</v>
      </c>
      <c r="B54" s="157"/>
      <c r="C54" s="57" t="s">
        <v>51</v>
      </c>
      <c r="D54" s="26"/>
      <c r="E54" s="27"/>
      <c r="F54" s="70">
        <f t="shared" si="2"/>
        <v>0</v>
      </c>
    </row>
    <row r="55" spans="1:6" s="55" customFormat="1" ht="12.75" customHeight="1">
      <c r="A55" s="118"/>
      <c r="B55" s="118"/>
      <c r="C55" s="25"/>
      <c r="D55" s="26"/>
      <c r="E55" s="27"/>
      <c r="F55" s="70">
        <f t="shared" si="2"/>
        <v>0</v>
      </c>
    </row>
    <row r="56" spans="1:6" s="55" customFormat="1" ht="12.75" customHeight="1">
      <c r="A56" s="118"/>
      <c r="B56" s="118"/>
      <c r="C56" s="25"/>
      <c r="D56" s="26"/>
      <c r="E56" s="27"/>
      <c r="F56" s="70">
        <f t="shared" si="2"/>
        <v>0</v>
      </c>
    </row>
    <row r="57" spans="1:6" s="55" customFormat="1" ht="12.75" customHeight="1">
      <c r="A57" s="118"/>
      <c r="B57" s="118"/>
      <c r="C57" s="25"/>
      <c r="D57" s="26"/>
      <c r="E57" s="27"/>
      <c r="F57" s="70">
        <f t="shared" si="2"/>
        <v>0</v>
      </c>
    </row>
    <row r="58" spans="1:6" s="59" customFormat="1" ht="12.75" customHeight="1">
      <c r="A58" s="65" t="s">
        <v>64</v>
      </c>
      <c r="B58" s="65"/>
      <c r="C58" s="66"/>
      <c r="D58" s="71"/>
      <c r="E58" s="72"/>
      <c r="F58" s="73">
        <f>SUM(F46:F57)</f>
        <v>1994.2400000000002</v>
      </c>
    </row>
    <row r="59" spans="1:6" s="55" customFormat="1" ht="12.75" customHeight="1">
      <c r="A59" s="158" t="s">
        <v>65</v>
      </c>
      <c r="B59" s="158"/>
      <c r="C59" s="62" t="s">
        <v>4</v>
      </c>
      <c r="D59" s="61" t="s">
        <v>49</v>
      </c>
      <c r="E59" s="61" t="s">
        <v>45</v>
      </c>
      <c r="F59" s="61" t="s">
        <v>31</v>
      </c>
    </row>
    <row r="60" spans="1:6" s="55" customFormat="1" ht="12.75" customHeight="1">
      <c r="A60" s="63" t="s">
        <v>66</v>
      </c>
      <c r="B60" s="63"/>
      <c r="C60" s="57" t="s">
        <v>51</v>
      </c>
      <c r="D60" s="16">
        <v>4</v>
      </c>
      <c r="E60" s="17">
        <v>86.4</v>
      </c>
      <c r="F60" s="70">
        <f t="shared" ref="F60:F70" si="3">D60*E60</f>
        <v>345.6</v>
      </c>
    </row>
    <row r="61" spans="1:6" s="55" customFormat="1" ht="12.75" customHeight="1">
      <c r="A61" s="63" t="s">
        <v>67</v>
      </c>
      <c r="B61" s="63"/>
      <c r="C61" s="57" t="s">
        <v>47</v>
      </c>
      <c r="D61" s="16">
        <v>120</v>
      </c>
      <c r="E61" s="17">
        <f>490*E9/1000</f>
        <v>14.896000000000001</v>
      </c>
      <c r="F61" s="70">
        <f t="shared" si="3"/>
        <v>1787.52</v>
      </c>
    </row>
    <row r="62" spans="1:6" s="55" customFormat="1" ht="12.75" customHeight="1">
      <c r="A62" s="63" t="s">
        <v>68</v>
      </c>
      <c r="B62" s="63"/>
      <c r="C62" s="57" t="s">
        <v>47</v>
      </c>
      <c r="D62" s="16">
        <v>100</v>
      </c>
      <c r="E62" s="17">
        <f>520*E9/1000</f>
        <v>15.808</v>
      </c>
      <c r="F62" s="70">
        <f t="shared" si="3"/>
        <v>1580.8</v>
      </c>
    </row>
    <row r="63" spans="1:6" s="55" customFormat="1" ht="12.75" customHeight="1">
      <c r="A63" s="63" t="s">
        <v>69</v>
      </c>
      <c r="B63" s="63"/>
      <c r="C63" s="57" t="s">
        <v>47</v>
      </c>
      <c r="D63" s="16"/>
      <c r="E63" s="17">
        <v>6.8</v>
      </c>
      <c r="F63" s="70">
        <f t="shared" si="3"/>
        <v>0</v>
      </c>
    </row>
    <row r="64" spans="1:6" s="55" customFormat="1" ht="12.75" customHeight="1">
      <c r="A64" s="63" t="s">
        <v>70</v>
      </c>
      <c r="B64" s="63"/>
      <c r="C64" s="57" t="s">
        <v>47</v>
      </c>
      <c r="D64" s="16"/>
      <c r="E64" s="17">
        <v>7.2</v>
      </c>
      <c r="F64" s="70">
        <f t="shared" si="3"/>
        <v>0</v>
      </c>
    </row>
    <row r="65" spans="1:6" s="55" customFormat="1" ht="12.75" customHeight="1">
      <c r="A65" s="63" t="s">
        <v>71</v>
      </c>
      <c r="B65" s="63"/>
      <c r="C65" s="57" t="s">
        <v>47</v>
      </c>
      <c r="D65" s="16"/>
      <c r="E65" s="17">
        <f>0.42*14.4</f>
        <v>6.048</v>
      </c>
      <c r="F65" s="70">
        <f t="shared" si="3"/>
        <v>0</v>
      </c>
    </row>
    <row r="66" spans="1:6" s="55" customFormat="1" ht="12.75" customHeight="1">
      <c r="A66" s="63" t="s">
        <v>72</v>
      </c>
      <c r="B66" s="63"/>
      <c r="C66" s="57" t="s">
        <v>47</v>
      </c>
      <c r="D66" s="16"/>
      <c r="E66" s="17">
        <f>635*E9/1000</f>
        <v>19.303999999999998</v>
      </c>
      <c r="F66" s="70">
        <f t="shared" si="3"/>
        <v>0</v>
      </c>
    </row>
    <row r="67" spans="1:6" s="55" customFormat="1" ht="12.75" customHeight="1">
      <c r="A67" s="63" t="s">
        <v>73</v>
      </c>
      <c r="B67" s="63"/>
      <c r="C67" s="57" t="s">
        <v>47</v>
      </c>
      <c r="D67" s="16"/>
      <c r="E67" s="17">
        <v>8.1999999999999993</v>
      </c>
      <c r="F67" s="70">
        <f t="shared" si="3"/>
        <v>0</v>
      </c>
    </row>
    <row r="68" spans="1:6" s="55" customFormat="1" ht="12.75" customHeight="1">
      <c r="A68" s="118"/>
      <c r="B68" s="118"/>
      <c r="C68" s="13"/>
      <c r="D68" s="16"/>
      <c r="E68" s="27"/>
      <c r="F68" s="70">
        <f t="shared" si="3"/>
        <v>0</v>
      </c>
    </row>
    <row r="69" spans="1:6" s="55" customFormat="1" ht="12.75" customHeight="1">
      <c r="A69" s="118"/>
      <c r="B69" s="118"/>
      <c r="C69" s="13"/>
      <c r="D69" s="16"/>
      <c r="E69" s="27"/>
      <c r="F69" s="70">
        <f t="shared" si="3"/>
        <v>0</v>
      </c>
    </row>
    <row r="70" spans="1:6" s="55" customFormat="1" ht="12.75" customHeight="1">
      <c r="A70" s="118"/>
      <c r="B70" s="118"/>
      <c r="C70" s="13"/>
      <c r="D70" s="16"/>
      <c r="E70" s="27"/>
      <c r="F70" s="70">
        <f t="shared" si="3"/>
        <v>0</v>
      </c>
    </row>
    <row r="71" spans="1:6" s="59" customFormat="1" ht="12.75" customHeight="1">
      <c r="A71" s="65" t="s">
        <v>74</v>
      </c>
      <c r="B71" s="65"/>
      <c r="C71" s="66"/>
      <c r="D71" s="71"/>
      <c r="E71" s="72"/>
      <c r="F71" s="73">
        <f>SUM(F59:F70)</f>
        <v>3713.92</v>
      </c>
    </row>
    <row r="72" spans="1:6" s="55" customFormat="1" ht="12.75" customHeight="1">
      <c r="A72" s="158" t="s">
        <v>75</v>
      </c>
      <c r="B72" s="158"/>
      <c r="C72" s="62" t="s">
        <v>4</v>
      </c>
      <c r="D72" s="61" t="s">
        <v>49</v>
      </c>
      <c r="E72" s="61" t="s">
        <v>45</v>
      </c>
      <c r="F72" s="61" t="s">
        <v>31</v>
      </c>
    </row>
    <row r="73" spans="1:6" s="55" customFormat="1" ht="12.75" customHeight="1">
      <c r="A73" s="63" t="s">
        <v>76</v>
      </c>
      <c r="B73" s="63"/>
      <c r="C73" s="57" t="s">
        <v>51</v>
      </c>
      <c r="D73" s="16">
        <v>0.5</v>
      </c>
      <c r="E73" s="17">
        <f>41*E9</f>
        <v>1246.3999999999999</v>
      </c>
      <c r="F73" s="70">
        <f t="shared" ref="F73:F77" si="4">D73*E73</f>
        <v>623.19999999999993</v>
      </c>
    </row>
    <row r="74" spans="1:6" s="55" customFormat="1" ht="12.75" customHeight="1">
      <c r="A74" s="74" t="s">
        <v>77</v>
      </c>
      <c r="B74" s="63"/>
      <c r="C74" s="57" t="s">
        <v>51</v>
      </c>
      <c r="D74" s="16"/>
      <c r="E74" s="17"/>
      <c r="F74" s="70">
        <f t="shared" si="4"/>
        <v>0</v>
      </c>
    </row>
    <row r="75" spans="1:6" s="55" customFormat="1" ht="12.75" customHeight="1">
      <c r="A75" s="74" t="s">
        <v>78</v>
      </c>
      <c r="B75" s="63"/>
      <c r="C75" s="57" t="s">
        <v>51</v>
      </c>
      <c r="D75" s="16"/>
      <c r="E75" s="17"/>
      <c r="F75" s="70">
        <f t="shared" si="4"/>
        <v>0</v>
      </c>
    </row>
    <row r="76" spans="1:6" s="55" customFormat="1" ht="12.75" customHeight="1">
      <c r="A76" s="118"/>
      <c r="B76" s="118"/>
      <c r="C76" s="13"/>
      <c r="D76" s="16"/>
      <c r="E76" s="27"/>
      <c r="F76" s="70">
        <f t="shared" si="4"/>
        <v>0</v>
      </c>
    </row>
    <row r="77" spans="1:6" s="55" customFormat="1" ht="12.75" customHeight="1">
      <c r="A77" s="118"/>
      <c r="B77" s="118"/>
      <c r="C77" s="13"/>
      <c r="D77" s="16"/>
      <c r="E77" s="27"/>
      <c r="F77" s="70">
        <f t="shared" si="4"/>
        <v>0</v>
      </c>
    </row>
    <row r="78" spans="1:6" s="59" customFormat="1" ht="12.75" customHeight="1">
      <c r="A78" s="65" t="s">
        <v>79</v>
      </c>
      <c r="B78" s="65"/>
      <c r="C78" s="66"/>
      <c r="D78" s="71"/>
      <c r="E78" s="72"/>
      <c r="F78" s="73">
        <f>SUM(F73:F77)</f>
        <v>623.19999999999993</v>
      </c>
    </row>
    <row r="79" spans="1:6" s="59" customFormat="1" ht="12.75" customHeight="1">
      <c r="A79" s="65"/>
      <c r="B79" s="65"/>
      <c r="C79" s="66"/>
      <c r="D79" s="71"/>
      <c r="E79" s="72"/>
      <c r="F79" s="73"/>
    </row>
    <row r="80" spans="1:6" s="55" customFormat="1" ht="12.75" customHeight="1">
      <c r="A80" s="61" t="s">
        <v>80</v>
      </c>
      <c r="B80" s="61" t="s">
        <v>4</v>
      </c>
      <c r="C80" s="62" t="s">
        <v>44</v>
      </c>
      <c r="D80" s="61" t="s">
        <v>116</v>
      </c>
      <c r="E80" s="62" t="s">
        <v>117</v>
      </c>
      <c r="F80" s="61" t="s">
        <v>31</v>
      </c>
    </row>
    <row r="81" spans="1:6" s="55" customFormat="1" ht="12.75" customHeight="1">
      <c r="A81" s="75" t="s">
        <v>118</v>
      </c>
      <c r="B81" s="76" t="s">
        <v>119</v>
      </c>
      <c r="C81" s="77">
        <v>1400</v>
      </c>
      <c r="D81" s="78">
        <v>5.7</v>
      </c>
      <c r="E81" s="78">
        <v>0</v>
      </c>
      <c r="F81" s="79">
        <f>C81*D81+E81</f>
        <v>7980</v>
      </c>
    </row>
    <row r="82" spans="1:6" s="55" customFormat="1" ht="12.75" customHeight="1">
      <c r="A82" s="80"/>
      <c r="B82" s="81"/>
      <c r="C82" s="82"/>
      <c r="D82" s="83"/>
      <c r="E82" s="84"/>
      <c r="F82" s="85"/>
    </row>
    <row r="83" spans="1:6" s="59" customFormat="1" ht="12.75" customHeight="1">
      <c r="A83" s="158"/>
      <c r="B83" s="158"/>
      <c r="C83" s="62" t="s">
        <v>4</v>
      </c>
      <c r="D83" s="86" t="s">
        <v>81</v>
      </c>
      <c r="E83" s="87" t="s">
        <v>45</v>
      </c>
      <c r="F83" s="61" t="s">
        <v>31</v>
      </c>
    </row>
    <row r="84" spans="1:6" s="55" customFormat="1" ht="12.75" customHeight="1">
      <c r="A84" s="157" t="s">
        <v>83</v>
      </c>
      <c r="B84" s="157"/>
      <c r="C84" s="57" t="s">
        <v>51</v>
      </c>
      <c r="D84" s="16">
        <v>0</v>
      </c>
      <c r="E84" s="17"/>
      <c r="F84" s="70">
        <f>D84*E84</f>
        <v>0</v>
      </c>
    </row>
    <row r="85" spans="1:6" s="55" customFormat="1" ht="12.75" customHeight="1">
      <c r="A85" s="157" t="s">
        <v>120</v>
      </c>
      <c r="B85" s="157"/>
      <c r="C85" s="57"/>
      <c r="D85" s="88"/>
      <c r="E85" s="17">
        <f>(12648.96*1.25*13*0.7)/70+(12648.96*1.25*0.65*13*0.7)/70</f>
        <v>3391.5023999999994</v>
      </c>
      <c r="F85" s="70">
        <f>E85</f>
        <v>3391.5023999999994</v>
      </c>
    </row>
    <row r="86" spans="1:6" s="55" customFormat="1" ht="12.75" customHeight="1">
      <c r="A86" s="157" t="s">
        <v>121</v>
      </c>
      <c r="B86" s="157"/>
      <c r="C86" s="57"/>
      <c r="D86" s="88"/>
      <c r="E86" s="17">
        <f>(571.23*1.25*60)/70</f>
        <v>612.03214285714284</v>
      </c>
      <c r="F86" s="70">
        <f>E86</f>
        <v>612.03214285714284</v>
      </c>
    </row>
    <row r="87" spans="1:6" s="55" customFormat="1" ht="12.75" customHeight="1">
      <c r="A87" s="157" t="s">
        <v>87</v>
      </c>
      <c r="B87" s="157"/>
      <c r="C87" s="57" t="s">
        <v>88</v>
      </c>
      <c r="D87" s="16">
        <v>1</v>
      </c>
      <c r="E87" s="17">
        <v>195</v>
      </c>
      <c r="F87" s="70">
        <f>D87*E87</f>
        <v>195</v>
      </c>
    </row>
    <row r="88" spans="1:6" s="55" customFormat="1" ht="12.75" customHeight="1">
      <c r="A88" s="157" t="s">
        <v>89</v>
      </c>
      <c r="B88" s="157"/>
      <c r="C88" s="60" t="s">
        <v>90</v>
      </c>
      <c r="D88" s="68"/>
      <c r="E88" s="34">
        <v>2.4199999999999999E-2</v>
      </c>
      <c r="F88" s="70">
        <f>E88*E11</f>
        <v>967.03199999999993</v>
      </c>
    </row>
    <row r="89" spans="1:6" s="55" customFormat="1" ht="12.75" customHeight="1">
      <c r="A89" s="118"/>
      <c r="B89" s="118"/>
      <c r="C89" s="13"/>
      <c r="D89" s="12"/>
      <c r="E89" s="35"/>
      <c r="F89" s="70">
        <f>E89*E12</f>
        <v>0</v>
      </c>
    </row>
    <row r="90" spans="1:6" s="55" customFormat="1" ht="12.75" customHeight="1">
      <c r="A90" s="118"/>
      <c r="B90" s="118"/>
      <c r="C90" s="13"/>
      <c r="D90" s="12"/>
      <c r="E90" s="35"/>
      <c r="F90" s="70">
        <f>E90*E13</f>
        <v>0</v>
      </c>
    </row>
    <row r="91" spans="1:6" s="55" customFormat="1" ht="12.75" customHeight="1">
      <c r="A91" s="118"/>
      <c r="B91" s="118"/>
      <c r="C91" s="13"/>
      <c r="D91" s="12"/>
      <c r="E91" s="35"/>
      <c r="F91" s="70">
        <f>E91*E14</f>
        <v>0</v>
      </c>
    </row>
    <row r="92" spans="1:6" s="91" customFormat="1" ht="12.75" customHeight="1">
      <c r="A92" s="65" t="s">
        <v>91</v>
      </c>
      <c r="B92" s="65"/>
      <c r="C92" s="89"/>
      <c r="D92" s="89"/>
      <c r="E92" s="89"/>
      <c r="F92" s="90">
        <f>SUM(F35,F38,F44,F58,F71,F78,F81:F91)</f>
        <v>27138.986542857139</v>
      </c>
    </row>
    <row r="93" spans="1:6" s="55" customFormat="1" ht="12.75" customHeight="1">
      <c r="A93" s="155"/>
      <c r="B93" s="155"/>
      <c r="C93" s="155"/>
      <c r="D93" s="155"/>
      <c r="E93" s="92"/>
    </row>
    <row r="94" spans="1:6" s="55" customFormat="1" ht="12.75" customHeight="1">
      <c r="A94" s="65" t="s">
        <v>92</v>
      </c>
      <c r="B94" s="65"/>
      <c r="C94" s="156" t="s">
        <v>4</v>
      </c>
      <c r="D94" s="156"/>
      <c r="E94" s="61" t="s">
        <v>45</v>
      </c>
      <c r="F94" s="61" t="s">
        <v>31</v>
      </c>
    </row>
    <row r="95" spans="1:6" s="55" customFormat="1" ht="12.75" customHeight="1">
      <c r="A95" s="63" t="s">
        <v>93</v>
      </c>
      <c r="B95" s="63"/>
      <c r="C95" s="154" t="s">
        <v>94</v>
      </c>
      <c r="D95" s="154"/>
      <c r="E95" s="40">
        <v>0.02</v>
      </c>
      <c r="F95" s="93">
        <f>E95*E11</f>
        <v>799.2</v>
      </c>
    </row>
    <row r="96" spans="1:6" s="55" customFormat="1" ht="12.75" customHeight="1">
      <c r="A96" s="63" t="s">
        <v>95</v>
      </c>
      <c r="B96" s="63"/>
      <c r="C96" s="154" t="s">
        <v>94</v>
      </c>
      <c r="D96" s="154"/>
      <c r="E96" s="40">
        <v>0.01</v>
      </c>
      <c r="F96" s="93">
        <f>E96*E11</f>
        <v>399.6</v>
      </c>
    </row>
    <row r="97" spans="1:6" s="55" customFormat="1" ht="12.75" customHeight="1">
      <c r="A97" s="63" t="s">
        <v>96</v>
      </c>
      <c r="B97" s="63"/>
      <c r="C97" s="154" t="s">
        <v>97</v>
      </c>
      <c r="D97" s="154"/>
      <c r="E97" s="42">
        <v>750</v>
      </c>
      <c r="F97" s="93">
        <f>E97*E$10</f>
        <v>4050.0000000000005</v>
      </c>
    </row>
    <row r="98" spans="1:6" s="55" customFormat="1" ht="12.75" customHeight="1">
      <c r="A98" s="63" t="s">
        <v>98</v>
      </c>
      <c r="B98" s="63"/>
      <c r="C98" s="154" t="s">
        <v>97</v>
      </c>
      <c r="D98" s="154"/>
      <c r="E98" s="42">
        <v>1000</v>
      </c>
      <c r="F98" s="93">
        <f>E98*E$10</f>
        <v>5400</v>
      </c>
    </row>
    <row r="99" spans="1:6" s="55" customFormat="1" ht="12.75" customHeight="1">
      <c r="A99" s="118"/>
      <c r="B99" s="118"/>
      <c r="C99" s="119"/>
      <c r="D99" s="119"/>
      <c r="E99" s="42"/>
      <c r="F99" s="93"/>
    </row>
    <row r="100" spans="1:6" s="55" customFormat="1" ht="12.75" customHeight="1">
      <c r="A100" s="118"/>
      <c r="B100" s="118"/>
      <c r="C100" s="119"/>
      <c r="D100" s="119"/>
      <c r="E100" s="42"/>
      <c r="F100" s="93"/>
    </row>
    <row r="101" spans="1:6" s="55" customFormat="1" ht="12.75" customHeight="1">
      <c r="A101" s="118"/>
      <c r="B101" s="118"/>
      <c r="C101" s="119"/>
      <c r="D101" s="119"/>
      <c r="E101" s="42"/>
      <c r="F101" s="93"/>
    </row>
    <row r="102" spans="1:6" s="55" customFormat="1" ht="12.75" customHeight="1">
      <c r="A102" s="65" t="s">
        <v>99</v>
      </c>
      <c r="B102" s="65"/>
      <c r="C102" s="65"/>
      <c r="D102" s="68"/>
      <c r="E102" s="94"/>
      <c r="F102" s="95">
        <f>SUM(F95:F101)</f>
        <v>10648.800000000001</v>
      </c>
    </row>
    <row r="103" spans="1:6" s="55" customFormat="1" ht="12.75" customHeight="1">
      <c r="A103" s="96"/>
      <c r="B103" s="96"/>
      <c r="C103" s="96"/>
      <c r="D103" s="148"/>
      <c r="E103" s="148"/>
      <c r="F103" s="148"/>
    </row>
    <row r="104" spans="1:6" s="55" customFormat="1" ht="12.75" customHeight="1">
      <c r="A104" s="63" t="s">
        <v>100</v>
      </c>
      <c r="B104" s="63"/>
      <c r="C104" s="63"/>
      <c r="D104" s="68"/>
      <c r="E104" s="97"/>
      <c r="F104" s="93">
        <f>SUM(F102,F92)</f>
        <v>37787.786542857139</v>
      </c>
    </row>
    <row r="105" spans="1:6" s="55" customFormat="1" ht="12.75" customHeight="1">
      <c r="A105" s="63" t="s">
        <v>101</v>
      </c>
      <c r="B105" s="63"/>
      <c r="C105" s="63"/>
      <c r="D105" s="68"/>
      <c r="E105" s="97"/>
      <c r="F105" s="47">
        <v>250</v>
      </c>
    </row>
    <row r="106" spans="1:6" s="55" customFormat="1" ht="12.75" customHeight="1">
      <c r="A106" s="63" t="s">
        <v>102</v>
      </c>
      <c r="B106" s="63"/>
      <c r="C106" s="63"/>
      <c r="D106" s="68"/>
      <c r="E106" s="97"/>
      <c r="F106" s="47">
        <v>350</v>
      </c>
    </row>
    <row r="107" spans="1:6" s="55" customFormat="1" ht="12.75" customHeight="1">
      <c r="A107" s="65" t="s">
        <v>103</v>
      </c>
      <c r="B107" s="65"/>
      <c r="C107" s="65"/>
      <c r="D107" s="68"/>
      <c r="E107" s="94"/>
      <c r="F107" s="95">
        <f>SUM(F104:F106)</f>
        <v>38387.786542857139</v>
      </c>
    </row>
    <row r="108" spans="1:6" s="55" customFormat="1" ht="12.75" customHeight="1" thickBot="1"/>
    <row r="109" spans="1:6" s="55" customFormat="1" ht="12.75" customHeight="1" thickBot="1">
      <c r="A109" s="149" t="s">
        <v>104</v>
      </c>
      <c r="B109" s="150"/>
      <c r="C109" s="150"/>
      <c r="D109" s="150"/>
      <c r="E109" s="150"/>
      <c r="F109" s="151"/>
    </row>
    <row r="110" spans="1:6" s="55" customFormat="1" ht="12.75" customHeight="1">
      <c r="A110" s="56"/>
      <c r="B110" s="56"/>
      <c r="C110" s="152" t="s">
        <v>105</v>
      </c>
      <c r="D110" s="153"/>
      <c r="E110" s="152" t="s">
        <v>106</v>
      </c>
      <c r="F110" s="152"/>
    </row>
    <row r="111" spans="1:6" s="55" customFormat="1" ht="12.75" customHeight="1">
      <c r="A111" s="98" t="s">
        <v>107</v>
      </c>
      <c r="B111" s="54"/>
      <c r="C111" s="99">
        <f>E16-F104+F98</f>
        <v>3920.2394571428595</v>
      </c>
      <c r="D111" s="100">
        <f>(E16-F104+F98)/E9</f>
        <v>128.95524530075195</v>
      </c>
      <c r="E111" s="101">
        <f>E16-F104</f>
        <v>-1479.7605428571405</v>
      </c>
      <c r="F111" s="102">
        <f>(E16-F104)/E9</f>
        <v>-48.67633364661647</v>
      </c>
    </row>
    <row r="112" spans="1:6" s="55" customFormat="1" ht="12.75" customHeight="1">
      <c r="A112" s="98" t="s">
        <v>108</v>
      </c>
      <c r="B112" s="54" t="s">
        <v>109</v>
      </c>
      <c r="C112" s="99">
        <f>E16-F107+F98</f>
        <v>3320.2394571428595</v>
      </c>
      <c r="D112" s="100">
        <f>(E16-F107+F98)/E9</f>
        <v>109.2184031954888</v>
      </c>
      <c r="E112" s="101">
        <f>E16-F107</f>
        <v>-2079.7605428571405</v>
      </c>
      <c r="F112" s="102">
        <f>(E16-F107)/E9</f>
        <v>-68.413175751879621</v>
      </c>
    </row>
    <row r="113" spans="1:6" s="55" customFormat="1" ht="12.75" customHeight="1">
      <c r="A113" s="98" t="s">
        <v>110</v>
      </c>
      <c r="B113" s="54"/>
      <c r="C113" s="141">
        <f>C112/(F107-F98)</f>
        <v>0.10065056813767313</v>
      </c>
      <c r="D113" s="142"/>
      <c r="E113" s="143">
        <f>E112/F107</f>
        <v>-5.4177662484791639E-2</v>
      </c>
      <c r="F113" s="144"/>
    </row>
    <row r="114" spans="1:6" s="55" customFormat="1" ht="12.75" customHeight="1">
      <c r="A114" s="98" t="s">
        <v>111</v>
      </c>
      <c r="B114" s="54"/>
      <c r="C114" s="145">
        <f>(F107-F98)/E17</f>
        <v>6723.2963978031421</v>
      </c>
      <c r="D114" s="146"/>
      <c r="E114" s="147">
        <f>F107/E17</f>
        <v>7823.8795030372303</v>
      </c>
      <c r="F114" s="145"/>
    </row>
    <row r="115" spans="1:6" s="55" customFormat="1" ht="12.75" customHeight="1">
      <c r="A115" s="55" t="s">
        <v>122</v>
      </c>
    </row>
    <row r="116" spans="1:6" s="55" customFormat="1" ht="12.75" customHeight="1">
      <c r="A116" s="55" t="s">
        <v>123</v>
      </c>
    </row>
  </sheetData>
  <mergeCells count="89">
    <mergeCell ref="A7:C7"/>
    <mergeCell ref="E7:F7"/>
    <mergeCell ref="A1:F1"/>
    <mergeCell ref="A3:F3"/>
    <mergeCell ref="A5:F5"/>
    <mergeCell ref="A6:C6"/>
    <mergeCell ref="E6:F6"/>
    <mergeCell ref="A8:C8"/>
    <mergeCell ref="E8:F8"/>
    <mergeCell ref="A9:C9"/>
    <mergeCell ref="E9:F9"/>
    <mergeCell ref="A10:C10"/>
    <mergeCell ref="E10:F10"/>
    <mergeCell ref="A11:C11"/>
    <mergeCell ref="E11:F11"/>
    <mergeCell ref="A12:C12"/>
    <mergeCell ref="E12:F12"/>
    <mergeCell ref="A13:C13"/>
    <mergeCell ref="E13:F13"/>
    <mergeCell ref="A14:C14"/>
    <mergeCell ref="E14:F14"/>
    <mergeCell ref="A15:C15"/>
    <mergeCell ref="E15:F15"/>
    <mergeCell ref="A16:C16"/>
    <mergeCell ref="E16:F16"/>
    <mergeCell ref="A40:B40"/>
    <mergeCell ref="A17:C17"/>
    <mergeCell ref="E17:F17"/>
    <mergeCell ref="A18:C18"/>
    <mergeCell ref="A19:F19"/>
    <mergeCell ref="D20:F21"/>
    <mergeCell ref="A31:B31"/>
    <mergeCell ref="A32:B32"/>
    <mergeCell ref="A33:B33"/>
    <mergeCell ref="A34:B34"/>
    <mergeCell ref="A37:B37"/>
    <mergeCell ref="A39:B39"/>
    <mergeCell ref="A53:B53"/>
    <mergeCell ref="A41:B41"/>
    <mergeCell ref="A42:B42"/>
    <mergeCell ref="A43:B43"/>
    <mergeCell ref="A45:B45"/>
    <mergeCell ref="A46:B46"/>
    <mergeCell ref="A47:B47"/>
    <mergeCell ref="A48:B48"/>
    <mergeCell ref="A49:B49"/>
    <mergeCell ref="A50:B50"/>
    <mergeCell ref="A51:B51"/>
    <mergeCell ref="A52:B52"/>
    <mergeCell ref="A83:B83"/>
    <mergeCell ref="A54:B54"/>
    <mergeCell ref="A55:B55"/>
    <mergeCell ref="A56:B56"/>
    <mergeCell ref="A57:B57"/>
    <mergeCell ref="A59:B59"/>
    <mergeCell ref="A68:B68"/>
    <mergeCell ref="A69:B69"/>
    <mergeCell ref="A70:B70"/>
    <mergeCell ref="A72:B72"/>
    <mergeCell ref="A76:B76"/>
    <mergeCell ref="A77:B77"/>
    <mergeCell ref="C96:D96"/>
    <mergeCell ref="A84:B84"/>
    <mergeCell ref="A85:B85"/>
    <mergeCell ref="A86:B86"/>
    <mergeCell ref="A87:B87"/>
    <mergeCell ref="A88:B88"/>
    <mergeCell ref="A89:B89"/>
    <mergeCell ref="A90:B90"/>
    <mergeCell ref="A91:B91"/>
    <mergeCell ref="A93:D93"/>
    <mergeCell ref="C94:D94"/>
    <mergeCell ref="C95:D95"/>
    <mergeCell ref="C97:D97"/>
    <mergeCell ref="C98:D98"/>
    <mergeCell ref="A99:B99"/>
    <mergeCell ref="C99:D99"/>
    <mergeCell ref="A100:B100"/>
    <mergeCell ref="C100:D100"/>
    <mergeCell ref="C113:D113"/>
    <mergeCell ref="E113:F113"/>
    <mergeCell ref="C114:D114"/>
    <mergeCell ref="E114:F114"/>
    <mergeCell ref="A101:B101"/>
    <mergeCell ref="C101:D101"/>
    <mergeCell ref="D103:F103"/>
    <mergeCell ref="A109:F109"/>
    <mergeCell ref="C110:D110"/>
    <mergeCell ref="E110:F11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H117"/>
  <sheetViews>
    <sheetView workbookViewId="0">
      <selection activeCell="H23" sqref="H23"/>
    </sheetView>
  </sheetViews>
  <sheetFormatPr defaultColWidth="9.140625" defaultRowHeight="11.25"/>
  <cols>
    <col min="1" max="2" width="15.7109375" style="55" customWidth="1"/>
    <col min="3" max="6" width="13.7109375" style="55" customWidth="1"/>
    <col min="7" max="8" width="9.28515625" style="55" customWidth="1"/>
    <col min="9" max="16384" width="9.140625" style="69"/>
  </cols>
  <sheetData>
    <row r="1" spans="1:6" s="55" customFormat="1" ht="18.75" customHeight="1">
      <c r="A1" s="138" t="s">
        <v>0</v>
      </c>
      <c r="B1" s="138"/>
      <c r="C1" s="138"/>
      <c r="D1" s="138"/>
      <c r="E1" s="138"/>
      <c r="F1" s="138"/>
    </row>
    <row r="2" spans="1:6" s="55" customFormat="1" ht="12.75" customHeight="1">
      <c r="A2" s="2"/>
      <c r="B2" s="2"/>
      <c r="C2" s="2"/>
      <c r="D2" s="2"/>
      <c r="E2" s="2"/>
      <c r="F2" s="2"/>
    </row>
    <row r="3" spans="1:6" s="55" customFormat="1" ht="12.75" customHeight="1">
      <c r="A3" s="139" t="s">
        <v>124</v>
      </c>
      <c r="B3" s="139"/>
      <c r="C3" s="139"/>
      <c r="D3" s="139"/>
      <c r="E3" s="139"/>
      <c r="F3" s="139"/>
    </row>
    <row r="4" spans="1:6" s="55" customFormat="1" ht="12.75" customHeight="1" thickBot="1">
      <c r="A4" s="2"/>
      <c r="B4" s="2"/>
      <c r="C4" s="2"/>
      <c r="D4" s="2"/>
      <c r="E4" s="2"/>
      <c r="F4" s="2"/>
    </row>
    <row r="5" spans="1:6" s="55" customFormat="1" ht="12.75" customHeight="1" thickBot="1">
      <c r="A5" s="149" t="s">
        <v>2</v>
      </c>
      <c r="B5" s="150"/>
      <c r="C5" s="150"/>
      <c r="D5" s="150"/>
      <c r="E5" s="150"/>
      <c r="F5" s="151"/>
    </row>
    <row r="6" spans="1:6" s="55" customFormat="1" ht="12.75" customHeight="1">
      <c r="A6" s="152" t="s">
        <v>3</v>
      </c>
      <c r="B6" s="152"/>
      <c r="C6" s="152"/>
      <c r="D6" s="56" t="s">
        <v>4</v>
      </c>
      <c r="E6" s="152" t="s">
        <v>5</v>
      </c>
      <c r="F6" s="152"/>
    </row>
    <row r="7" spans="1:6" s="55" customFormat="1" ht="12.75" customHeight="1">
      <c r="A7" s="157" t="s">
        <v>6</v>
      </c>
      <c r="B7" s="157"/>
      <c r="C7" s="157"/>
      <c r="D7" s="57" t="s">
        <v>7</v>
      </c>
      <c r="E7" s="140">
        <v>7400</v>
      </c>
      <c r="F7" s="140"/>
    </row>
    <row r="8" spans="1:6" s="55" customFormat="1" ht="12.75" customHeight="1">
      <c r="A8" s="157" t="s">
        <v>8</v>
      </c>
      <c r="B8" s="157"/>
      <c r="C8" s="157"/>
      <c r="D8" s="57" t="s">
        <v>9</v>
      </c>
      <c r="E8" s="168">
        <f>E10/E9</f>
        <v>0.17763157894736845</v>
      </c>
      <c r="F8" s="168"/>
    </row>
    <row r="9" spans="1:6" s="55" customFormat="1" ht="12.75" customHeight="1">
      <c r="A9" s="157" t="s">
        <v>10</v>
      </c>
      <c r="B9" s="157"/>
      <c r="C9" s="157"/>
      <c r="D9" s="57" t="s">
        <v>11</v>
      </c>
      <c r="E9" s="136">
        <v>30.4</v>
      </c>
      <c r="F9" s="136"/>
    </row>
    <row r="10" spans="1:6" s="55" customFormat="1" ht="12.75" customHeight="1">
      <c r="A10" s="157" t="s">
        <v>12</v>
      </c>
      <c r="B10" s="157"/>
      <c r="C10" s="157"/>
      <c r="D10" s="57" t="s">
        <v>13</v>
      </c>
      <c r="E10" s="137">
        <v>5.4</v>
      </c>
      <c r="F10" s="137"/>
    </row>
    <row r="11" spans="1:6" s="55" customFormat="1" ht="12.75" customHeight="1">
      <c r="A11" s="157" t="s">
        <v>14</v>
      </c>
      <c r="B11" s="157"/>
      <c r="C11" s="157"/>
      <c r="D11" s="57" t="s">
        <v>15</v>
      </c>
      <c r="E11" s="165">
        <f>E7*E10</f>
        <v>39960</v>
      </c>
      <c r="F11" s="165"/>
    </row>
    <row r="12" spans="1:6" s="55" customFormat="1" ht="12.75" customHeight="1">
      <c r="A12" s="157" t="s">
        <v>16</v>
      </c>
      <c r="B12" s="157"/>
      <c r="C12" s="157"/>
      <c r="D12" s="57" t="s">
        <v>17</v>
      </c>
      <c r="E12" s="134">
        <f>(5.94%+0.5%)</f>
        <v>6.4399999999999999E-2</v>
      </c>
      <c r="F12" s="134"/>
    </row>
    <row r="13" spans="1:6" s="55" customFormat="1" ht="12.75" customHeight="1">
      <c r="A13" s="157" t="s">
        <v>16</v>
      </c>
      <c r="B13" s="157"/>
      <c r="C13" s="157"/>
      <c r="D13" s="57" t="s">
        <v>15</v>
      </c>
      <c r="E13" s="165">
        <f>E11*E12</f>
        <v>2573.424</v>
      </c>
      <c r="F13" s="165"/>
    </row>
    <row r="14" spans="1:6" s="55" customFormat="1" ht="12.75" customHeight="1">
      <c r="A14" s="157" t="s">
        <v>18</v>
      </c>
      <c r="B14" s="157"/>
      <c r="C14" s="157"/>
      <c r="D14" s="57" t="s">
        <v>19</v>
      </c>
      <c r="E14" s="130">
        <v>186.06</v>
      </c>
      <c r="F14" s="130"/>
    </row>
    <row r="15" spans="1:6" s="55" customFormat="1" ht="12.75" customHeight="1">
      <c r="A15" s="157" t="s">
        <v>20</v>
      </c>
      <c r="B15" s="157"/>
      <c r="C15" s="157"/>
      <c r="D15" s="57" t="s">
        <v>15</v>
      </c>
      <c r="E15" s="165">
        <f>E7/1000*E14</f>
        <v>1376.8440000000001</v>
      </c>
      <c r="F15" s="165"/>
    </row>
    <row r="16" spans="1:6" s="59" customFormat="1" ht="12.75" customHeight="1">
      <c r="A16" s="166" t="s">
        <v>21</v>
      </c>
      <c r="B16" s="166"/>
      <c r="C16" s="166"/>
      <c r="D16" s="58" t="s">
        <v>15</v>
      </c>
      <c r="E16" s="167">
        <f>E11-E13-E15</f>
        <v>36009.732000000004</v>
      </c>
      <c r="F16" s="167"/>
    </row>
    <row r="17" spans="1:6" s="55" customFormat="1" ht="12.75" customHeight="1">
      <c r="A17" s="160" t="s">
        <v>22</v>
      </c>
      <c r="B17" s="160"/>
      <c r="C17" s="160"/>
      <c r="D17" s="57" t="s">
        <v>13</v>
      </c>
      <c r="E17" s="161">
        <f>E16/E7</f>
        <v>4.8661800000000008</v>
      </c>
      <c r="F17" s="161"/>
    </row>
    <row r="18" spans="1:6" s="55" customFormat="1" ht="12.75" customHeight="1" thickBot="1">
      <c r="A18" s="162"/>
      <c r="B18" s="162"/>
      <c r="C18" s="162"/>
    </row>
    <row r="19" spans="1:6" s="55" customFormat="1" ht="12.75" customHeight="1" thickBot="1">
      <c r="A19" s="149" t="s">
        <v>23</v>
      </c>
      <c r="B19" s="150"/>
      <c r="C19" s="150"/>
      <c r="D19" s="150"/>
      <c r="E19" s="150"/>
      <c r="F19" s="151"/>
    </row>
    <row r="20" spans="1:6" s="55" customFormat="1" ht="12.75" customHeight="1">
      <c r="A20" s="56" t="s">
        <v>3</v>
      </c>
      <c r="B20" s="56" t="s">
        <v>4</v>
      </c>
      <c r="C20" s="56" t="s">
        <v>24</v>
      </c>
      <c r="D20" s="163" t="s">
        <v>25</v>
      </c>
      <c r="E20" s="163"/>
      <c r="F20" s="163"/>
    </row>
    <row r="21" spans="1:6" s="55" customFormat="1" ht="12.75" customHeight="1">
      <c r="A21" s="60" t="s">
        <v>26</v>
      </c>
      <c r="B21" s="57" t="s">
        <v>15</v>
      </c>
      <c r="C21" s="8">
        <v>915</v>
      </c>
      <c r="D21" s="164"/>
      <c r="E21" s="164"/>
      <c r="F21" s="164"/>
    </row>
    <row r="22" spans="1:6" s="55" customFormat="1" ht="12.75" customHeight="1">
      <c r="A22" s="61" t="s">
        <v>27</v>
      </c>
      <c r="B22" s="61"/>
      <c r="C22" s="62" t="s">
        <v>28</v>
      </c>
      <c r="D22" s="61" t="s">
        <v>29</v>
      </c>
      <c r="E22" s="62" t="s">
        <v>30</v>
      </c>
      <c r="F22" s="61" t="s">
        <v>31</v>
      </c>
    </row>
    <row r="23" spans="1:6" s="55" customFormat="1" ht="12.75" customHeight="1">
      <c r="A23" s="63" t="s">
        <v>32</v>
      </c>
      <c r="B23" s="63"/>
      <c r="C23" s="12">
        <v>1</v>
      </c>
      <c r="D23" s="13">
        <v>1.5</v>
      </c>
      <c r="E23" s="14">
        <v>0</v>
      </c>
      <c r="F23" s="64">
        <f t="shared" ref="F23:F35" si="0">C23*D23*$C$21 +C23*E23</f>
        <v>1372.5</v>
      </c>
    </row>
    <row r="24" spans="1:6" s="55" customFormat="1" ht="12.75" customHeight="1">
      <c r="A24" s="63" t="s">
        <v>33</v>
      </c>
      <c r="B24" s="63"/>
      <c r="C24" s="12">
        <v>1</v>
      </c>
      <c r="D24" s="13">
        <v>1</v>
      </c>
      <c r="E24" s="14">
        <v>0</v>
      </c>
      <c r="F24" s="64">
        <f t="shared" si="0"/>
        <v>915</v>
      </c>
    </row>
    <row r="25" spans="1:6" s="55" customFormat="1" ht="12.75" customHeight="1">
      <c r="A25" s="63" t="s">
        <v>34</v>
      </c>
      <c r="B25" s="63"/>
      <c r="C25" s="12">
        <v>1</v>
      </c>
      <c r="D25" s="13">
        <v>0.55000000000000004</v>
      </c>
      <c r="E25" s="14">
        <v>0</v>
      </c>
      <c r="F25" s="64">
        <f t="shared" si="0"/>
        <v>503.25000000000006</v>
      </c>
    </row>
    <row r="26" spans="1:6" s="55" customFormat="1" ht="12.75" customHeight="1">
      <c r="A26" s="63" t="s">
        <v>35</v>
      </c>
      <c r="B26" s="63"/>
      <c r="C26" s="12">
        <v>1</v>
      </c>
      <c r="D26" s="13">
        <v>0.55000000000000004</v>
      </c>
      <c r="E26" s="14">
        <v>0</v>
      </c>
      <c r="F26" s="64">
        <f t="shared" si="0"/>
        <v>503.25000000000006</v>
      </c>
    </row>
    <row r="27" spans="1:6" s="55" customFormat="1" ht="12.75" customHeight="1">
      <c r="A27" s="63" t="s">
        <v>36</v>
      </c>
      <c r="B27" s="63"/>
      <c r="C27" s="12">
        <v>1</v>
      </c>
      <c r="D27" s="13">
        <v>1</v>
      </c>
      <c r="E27" s="14">
        <v>0</v>
      </c>
      <c r="F27" s="64">
        <f t="shared" si="0"/>
        <v>915</v>
      </c>
    </row>
    <row r="28" spans="1:6" s="55" customFormat="1" ht="12.75" customHeight="1">
      <c r="A28" s="63" t="s">
        <v>37</v>
      </c>
      <c r="B28" s="63"/>
      <c r="C28" s="12">
        <v>1</v>
      </c>
      <c r="D28" s="13">
        <v>0.5</v>
      </c>
      <c r="E28" s="14">
        <v>0</v>
      </c>
      <c r="F28" s="64">
        <f t="shared" si="0"/>
        <v>457.5</v>
      </c>
    </row>
    <row r="29" spans="1:6" s="55" customFormat="1" ht="12.75" customHeight="1">
      <c r="A29" s="63" t="s">
        <v>38</v>
      </c>
      <c r="B29" s="63"/>
      <c r="C29" s="12">
        <v>2</v>
      </c>
      <c r="D29" s="13"/>
      <c r="E29" s="14">
        <f>5.5*E9</f>
        <v>167.2</v>
      </c>
      <c r="F29" s="64">
        <f t="shared" si="0"/>
        <v>334.4</v>
      </c>
    </row>
    <row r="30" spans="1:6" s="55" customFormat="1" ht="12.75" customHeight="1">
      <c r="A30" s="63" t="s">
        <v>39</v>
      </c>
      <c r="B30" s="63"/>
      <c r="C30" s="12">
        <v>1</v>
      </c>
      <c r="D30" s="13"/>
      <c r="E30" s="14">
        <f>7*E9</f>
        <v>212.79999999999998</v>
      </c>
      <c r="F30" s="64">
        <f t="shared" si="0"/>
        <v>212.79999999999998</v>
      </c>
    </row>
    <row r="31" spans="1:6" s="55" customFormat="1" ht="12.75" customHeight="1">
      <c r="A31" s="157" t="s">
        <v>40</v>
      </c>
      <c r="B31" s="157"/>
      <c r="C31" s="12">
        <v>1</v>
      </c>
      <c r="D31" s="16"/>
      <c r="E31" s="17">
        <f>18*E9</f>
        <v>547.19999999999993</v>
      </c>
      <c r="F31" s="64">
        <f t="shared" si="0"/>
        <v>547.19999999999993</v>
      </c>
    </row>
    <row r="32" spans="1:6" s="55" customFormat="1" ht="12.75" customHeight="1">
      <c r="A32" s="157" t="s">
        <v>41</v>
      </c>
      <c r="B32" s="157"/>
      <c r="C32" s="12">
        <v>1</v>
      </c>
      <c r="D32" s="16"/>
      <c r="E32" s="17">
        <f>11*E9</f>
        <v>334.4</v>
      </c>
      <c r="F32" s="64">
        <f>C32*D32*$C$21 +C32*E32</f>
        <v>334.4</v>
      </c>
    </row>
    <row r="33" spans="1:6" s="55" customFormat="1" ht="12.75" customHeight="1">
      <c r="A33" s="118"/>
      <c r="B33" s="118"/>
      <c r="C33" s="13"/>
      <c r="D33" s="12"/>
      <c r="E33" s="14">
        <v>0</v>
      </c>
      <c r="F33" s="64">
        <f>C33*D33*$C$21 +C33*E33</f>
        <v>0</v>
      </c>
    </row>
    <row r="34" spans="1:6" s="55" customFormat="1" ht="12.75" customHeight="1">
      <c r="A34" s="118"/>
      <c r="B34" s="118"/>
      <c r="C34" s="13"/>
      <c r="D34" s="12"/>
      <c r="E34" s="14">
        <v>0</v>
      </c>
      <c r="F34" s="64">
        <f t="shared" si="0"/>
        <v>0</v>
      </c>
    </row>
    <row r="35" spans="1:6" s="55" customFormat="1" ht="12.75" customHeight="1">
      <c r="A35" s="118"/>
      <c r="B35" s="118"/>
      <c r="C35" s="13"/>
      <c r="D35" s="12"/>
      <c r="E35" s="14">
        <v>0</v>
      </c>
      <c r="F35" s="64">
        <f t="shared" si="0"/>
        <v>0</v>
      </c>
    </row>
    <row r="36" spans="1:6" s="59" customFormat="1" ht="12.75" customHeight="1">
      <c r="A36" s="65" t="s">
        <v>42</v>
      </c>
      <c r="B36" s="65"/>
      <c r="C36" s="66"/>
      <c r="D36" s="65"/>
      <c r="E36" s="66"/>
      <c r="F36" s="67">
        <f>SUM(F23:F35)</f>
        <v>6095.2999999999993</v>
      </c>
    </row>
    <row r="37" spans="1:6" ht="12.75" customHeight="1">
      <c r="A37" s="68"/>
      <c r="B37" s="68"/>
      <c r="C37" s="68"/>
      <c r="D37" s="68"/>
      <c r="E37" s="68"/>
      <c r="F37" s="68"/>
    </row>
    <row r="38" spans="1:6" s="55" customFormat="1" ht="12.75" customHeight="1">
      <c r="A38" s="158" t="s">
        <v>43</v>
      </c>
      <c r="B38" s="158"/>
      <c r="C38" s="62" t="s">
        <v>4</v>
      </c>
      <c r="D38" s="61" t="s">
        <v>44</v>
      </c>
      <c r="E38" s="61" t="s">
        <v>45</v>
      </c>
      <c r="F38" s="61" t="s">
        <v>31</v>
      </c>
    </row>
    <row r="39" spans="1:6" s="55" customFormat="1" ht="12.75" customHeight="1">
      <c r="A39" s="63" t="s">
        <v>46</v>
      </c>
      <c r="B39" s="63"/>
      <c r="C39" s="57" t="s">
        <v>47</v>
      </c>
      <c r="D39" s="16">
        <v>130</v>
      </c>
      <c r="E39" s="23">
        <v>10</v>
      </c>
      <c r="F39" s="70">
        <f>D39*E39</f>
        <v>1300</v>
      </c>
    </row>
    <row r="40" spans="1:6" s="55" customFormat="1" ht="12.75" customHeight="1">
      <c r="A40" s="158" t="s">
        <v>48</v>
      </c>
      <c r="B40" s="158"/>
      <c r="C40" s="57"/>
      <c r="D40" s="61" t="s">
        <v>49</v>
      </c>
      <c r="E40" s="61" t="s">
        <v>45</v>
      </c>
      <c r="F40" s="61" t="s">
        <v>31</v>
      </c>
    </row>
    <row r="41" spans="1:6" s="55" customFormat="1" ht="12.75" customHeight="1">
      <c r="A41" s="157" t="s">
        <v>50</v>
      </c>
      <c r="B41" s="157"/>
      <c r="C41" s="57" t="s">
        <v>51</v>
      </c>
      <c r="D41" s="16">
        <f>0.25*130/100</f>
        <v>0.32500000000000001</v>
      </c>
      <c r="E41" s="17">
        <f>9*E9</f>
        <v>273.59999999999997</v>
      </c>
      <c r="F41" s="70">
        <f t="shared" ref="F41:F44" si="1">D41*E41</f>
        <v>88.919999999999987</v>
      </c>
    </row>
    <row r="42" spans="1:6" s="55" customFormat="1" ht="12.75" customHeight="1">
      <c r="A42" s="157" t="s">
        <v>52</v>
      </c>
      <c r="B42" s="157"/>
      <c r="C42" s="57" t="s">
        <v>51</v>
      </c>
      <c r="D42" s="16">
        <f>0.3*130/100</f>
        <v>0.39</v>
      </c>
      <c r="E42" s="17">
        <f>15*E9</f>
        <v>456</v>
      </c>
      <c r="F42" s="70">
        <f t="shared" si="1"/>
        <v>177.84</v>
      </c>
    </row>
    <row r="43" spans="1:6" s="55" customFormat="1" ht="12.75" customHeight="1">
      <c r="A43" s="118"/>
      <c r="B43" s="118"/>
      <c r="C43" s="25"/>
      <c r="D43" s="26"/>
      <c r="E43" s="27"/>
      <c r="F43" s="70">
        <f t="shared" si="1"/>
        <v>0</v>
      </c>
    </row>
    <row r="44" spans="1:6" s="55" customFormat="1" ht="12.75" customHeight="1">
      <c r="A44" s="118"/>
      <c r="B44" s="118"/>
      <c r="C44" s="25"/>
      <c r="D44" s="26"/>
      <c r="E44" s="27"/>
      <c r="F44" s="70">
        <f t="shared" si="1"/>
        <v>0</v>
      </c>
    </row>
    <row r="45" spans="1:6" s="59" customFormat="1" ht="12.75" customHeight="1">
      <c r="A45" s="65" t="s">
        <v>53</v>
      </c>
      <c r="B45" s="65"/>
      <c r="C45" s="58"/>
      <c r="D45" s="71"/>
      <c r="E45" s="72"/>
      <c r="F45" s="73">
        <f>SUM(F41:F44)</f>
        <v>266.76</v>
      </c>
    </row>
    <row r="46" spans="1:6" s="55" customFormat="1" ht="12.75" customHeight="1">
      <c r="A46" s="158" t="s">
        <v>54</v>
      </c>
      <c r="B46" s="158"/>
      <c r="C46" s="57"/>
      <c r="D46" s="61" t="s">
        <v>49</v>
      </c>
      <c r="E46" s="61" t="s">
        <v>45</v>
      </c>
      <c r="F46" s="61" t="s">
        <v>31</v>
      </c>
    </row>
    <row r="47" spans="1:6" s="55" customFormat="1" ht="12.75" customHeight="1">
      <c r="A47" s="159" t="s">
        <v>55</v>
      </c>
      <c r="B47" s="159"/>
      <c r="C47" s="57" t="s">
        <v>51</v>
      </c>
      <c r="D47" s="16"/>
      <c r="E47" s="17">
        <v>3773</v>
      </c>
      <c r="F47" s="70">
        <f t="shared" ref="F47:F58" si="2">D47*E47</f>
        <v>0</v>
      </c>
    </row>
    <row r="48" spans="1:6" s="55" customFormat="1" ht="12.75" customHeight="1">
      <c r="A48" s="157" t="s">
        <v>56</v>
      </c>
      <c r="B48" s="157"/>
      <c r="C48" s="57" t="s">
        <v>51</v>
      </c>
      <c r="D48" s="26"/>
      <c r="E48" s="17">
        <v>821</v>
      </c>
      <c r="F48" s="70">
        <f t="shared" si="2"/>
        <v>0</v>
      </c>
    </row>
    <row r="49" spans="1:6" s="55" customFormat="1" ht="12.75" customHeight="1">
      <c r="A49" s="157" t="s">
        <v>57</v>
      </c>
      <c r="B49" s="157"/>
      <c r="C49" s="57" t="s">
        <v>51</v>
      </c>
      <c r="D49" s="26"/>
      <c r="E49" s="17">
        <v>403.2</v>
      </c>
      <c r="F49" s="70">
        <f t="shared" si="2"/>
        <v>0</v>
      </c>
    </row>
    <row r="50" spans="1:6" s="55" customFormat="1" ht="12.75" customHeight="1">
      <c r="A50" s="157" t="s">
        <v>58</v>
      </c>
      <c r="B50" s="157"/>
      <c r="C50" s="57" t="s">
        <v>51</v>
      </c>
      <c r="D50" s="26">
        <v>4</v>
      </c>
      <c r="E50" s="17">
        <f>4*E9</f>
        <v>121.6</v>
      </c>
      <c r="F50" s="70">
        <f t="shared" si="2"/>
        <v>486.4</v>
      </c>
    </row>
    <row r="51" spans="1:6" s="55" customFormat="1" ht="12.75" customHeight="1">
      <c r="A51" s="157" t="s">
        <v>59</v>
      </c>
      <c r="B51" s="157"/>
      <c r="C51" s="57" t="s">
        <v>47</v>
      </c>
      <c r="D51" s="26">
        <v>0.28000000000000003</v>
      </c>
      <c r="E51" s="17">
        <f>496*E9/2.8</f>
        <v>5385.1428571428578</v>
      </c>
      <c r="F51" s="70">
        <f t="shared" si="2"/>
        <v>1507.8400000000004</v>
      </c>
    </row>
    <row r="52" spans="1:6" s="55" customFormat="1" ht="12.75" customHeight="1">
      <c r="A52" s="157" t="s">
        <v>60</v>
      </c>
      <c r="B52" s="157"/>
      <c r="C52" s="57" t="s">
        <v>51</v>
      </c>
      <c r="D52" s="26"/>
      <c r="E52" s="17">
        <v>245</v>
      </c>
      <c r="F52" s="70">
        <f t="shared" si="2"/>
        <v>0</v>
      </c>
    </row>
    <row r="53" spans="1:6" s="55" customFormat="1" ht="12.75" customHeight="1">
      <c r="A53" s="157" t="s">
        <v>61</v>
      </c>
      <c r="B53" s="157"/>
      <c r="C53" s="57" t="s">
        <v>51</v>
      </c>
      <c r="D53" s="26"/>
      <c r="E53" s="27"/>
      <c r="F53" s="70">
        <f t="shared" si="2"/>
        <v>0</v>
      </c>
    </row>
    <row r="54" spans="1:6" s="55" customFormat="1" ht="12.75" customHeight="1">
      <c r="A54" s="157" t="s">
        <v>62</v>
      </c>
      <c r="B54" s="157"/>
      <c r="C54" s="57" t="s">
        <v>51</v>
      </c>
      <c r="D54" s="26"/>
      <c r="E54" s="27"/>
      <c r="F54" s="70">
        <f t="shared" si="2"/>
        <v>0</v>
      </c>
    </row>
    <row r="55" spans="1:6" s="55" customFormat="1" ht="12.75" customHeight="1">
      <c r="A55" s="157" t="s">
        <v>63</v>
      </c>
      <c r="B55" s="157"/>
      <c r="C55" s="57" t="s">
        <v>51</v>
      </c>
      <c r="D55" s="26"/>
      <c r="E55" s="27"/>
      <c r="F55" s="70">
        <f t="shared" si="2"/>
        <v>0</v>
      </c>
    </row>
    <row r="56" spans="1:6" s="55" customFormat="1" ht="12.75" customHeight="1">
      <c r="A56" s="118"/>
      <c r="B56" s="118"/>
      <c r="C56" s="25"/>
      <c r="D56" s="26"/>
      <c r="E56" s="27"/>
      <c r="F56" s="70">
        <f t="shared" si="2"/>
        <v>0</v>
      </c>
    </row>
    <row r="57" spans="1:6" s="55" customFormat="1" ht="12.75" customHeight="1">
      <c r="A57" s="118"/>
      <c r="B57" s="118"/>
      <c r="C57" s="25"/>
      <c r="D57" s="26"/>
      <c r="E57" s="27"/>
      <c r="F57" s="70">
        <f t="shared" si="2"/>
        <v>0</v>
      </c>
    </row>
    <row r="58" spans="1:6" s="55" customFormat="1" ht="12.75" customHeight="1">
      <c r="A58" s="118"/>
      <c r="B58" s="118"/>
      <c r="C58" s="25"/>
      <c r="D58" s="26"/>
      <c r="E58" s="27"/>
      <c r="F58" s="70">
        <f t="shared" si="2"/>
        <v>0</v>
      </c>
    </row>
    <row r="59" spans="1:6" s="59" customFormat="1" ht="12.75" customHeight="1">
      <c r="A59" s="65" t="s">
        <v>64</v>
      </c>
      <c r="B59" s="65"/>
      <c r="C59" s="66"/>
      <c r="D59" s="71"/>
      <c r="E59" s="72"/>
      <c r="F59" s="73">
        <f>SUM(F47:F58)</f>
        <v>1994.2400000000002</v>
      </c>
    </row>
    <row r="60" spans="1:6" s="55" customFormat="1" ht="12.75" customHeight="1">
      <c r="A60" s="158" t="s">
        <v>65</v>
      </c>
      <c r="B60" s="158"/>
      <c r="C60" s="62" t="s">
        <v>4</v>
      </c>
      <c r="D60" s="61" t="s">
        <v>49</v>
      </c>
      <c r="E60" s="61" t="s">
        <v>45</v>
      </c>
      <c r="F60" s="61" t="s">
        <v>31</v>
      </c>
    </row>
    <row r="61" spans="1:6" s="55" customFormat="1" ht="12.75" customHeight="1">
      <c r="A61" s="63" t="s">
        <v>66</v>
      </c>
      <c r="B61" s="63"/>
      <c r="C61" s="57" t="s">
        <v>51</v>
      </c>
      <c r="D61" s="16">
        <v>4</v>
      </c>
      <c r="E61" s="17">
        <v>86.4</v>
      </c>
      <c r="F61" s="70">
        <f t="shared" ref="F61:F71" si="3">D61*E61</f>
        <v>345.6</v>
      </c>
    </row>
    <row r="62" spans="1:6" s="55" customFormat="1" ht="12.75" customHeight="1">
      <c r="A62" s="63" t="s">
        <v>67</v>
      </c>
      <c r="B62" s="63"/>
      <c r="C62" s="57" t="s">
        <v>47</v>
      </c>
      <c r="D62" s="16">
        <v>120</v>
      </c>
      <c r="E62" s="17">
        <f>490*E9/1000</f>
        <v>14.896000000000001</v>
      </c>
      <c r="F62" s="70">
        <f t="shared" si="3"/>
        <v>1787.52</v>
      </c>
    </row>
    <row r="63" spans="1:6" s="55" customFormat="1" ht="12.75" customHeight="1">
      <c r="A63" s="63" t="s">
        <v>68</v>
      </c>
      <c r="B63" s="63"/>
      <c r="C63" s="57" t="s">
        <v>47</v>
      </c>
      <c r="D63" s="16">
        <v>100</v>
      </c>
      <c r="E63" s="17">
        <f>520*E9/1000</f>
        <v>15.808</v>
      </c>
      <c r="F63" s="70">
        <f t="shared" si="3"/>
        <v>1580.8</v>
      </c>
    </row>
    <row r="64" spans="1:6" s="55" customFormat="1" ht="12.75" customHeight="1">
      <c r="A64" s="63" t="s">
        <v>69</v>
      </c>
      <c r="B64" s="63"/>
      <c r="C64" s="57" t="s">
        <v>47</v>
      </c>
      <c r="D64" s="16"/>
      <c r="E64" s="17">
        <v>6.8</v>
      </c>
      <c r="F64" s="70">
        <f t="shared" si="3"/>
        <v>0</v>
      </c>
    </row>
    <row r="65" spans="1:6" s="55" customFormat="1" ht="12.75" customHeight="1">
      <c r="A65" s="63" t="s">
        <v>70</v>
      </c>
      <c r="B65" s="63"/>
      <c r="C65" s="57" t="s">
        <v>47</v>
      </c>
      <c r="D65" s="16"/>
      <c r="E65" s="17">
        <v>7.2</v>
      </c>
      <c r="F65" s="70">
        <f t="shared" si="3"/>
        <v>0</v>
      </c>
    </row>
    <row r="66" spans="1:6" s="55" customFormat="1" ht="12.75" customHeight="1">
      <c r="A66" s="63" t="s">
        <v>71</v>
      </c>
      <c r="B66" s="63"/>
      <c r="C66" s="57" t="s">
        <v>47</v>
      </c>
      <c r="D66" s="16"/>
      <c r="E66" s="17">
        <f>0.42*14.4</f>
        <v>6.048</v>
      </c>
      <c r="F66" s="70">
        <f t="shared" si="3"/>
        <v>0</v>
      </c>
    </row>
    <row r="67" spans="1:6" s="55" customFormat="1" ht="12.75" customHeight="1">
      <c r="A67" s="63" t="s">
        <v>72</v>
      </c>
      <c r="B67" s="63"/>
      <c r="C67" s="57" t="s">
        <v>47</v>
      </c>
      <c r="D67" s="16"/>
      <c r="E67" s="17">
        <f>635*E9/1000</f>
        <v>19.303999999999998</v>
      </c>
      <c r="F67" s="70">
        <f t="shared" si="3"/>
        <v>0</v>
      </c>
    </row>
    <row r="68" spans="1:6" s="55" customFormat="1" ht="12.75" customHeight="1">
      <c r="A68" s="63" t="s">
        <v>73</v>
      </c>
      <c r="B68" s="63"/>
      <c r="C68" s="57" t="s">
        <v>47</v>
      </c>
      <c r="D68" s="16"/>
      <c r="E68" s="17">
        <v>8.1999999999999993</v>
      </c>
      <c r="F68" s="70">
        <f t="shared" si="3"/>
        <v>0</v>
      </c>
    </row>
    <row r="69" spans="1:6" s="55" customFormat="1" ht="12.75" customHeight="1">
      <c r="A69" s="118"/>
      <c r="B69" s="118"/>
      <c r="C69" s="25"/>
      <c r="D69" s="16"/>
      <c r="E69" s="27"/>
      <c r="F69" s="70">
        <f t="shared" si="3"/>
        <v>0</v>
      </c>
    </row>
    <row r="70" spans="1:6" s="55" customFormat="1" ht="12.75" customHeight="1">
      <c r="A70" s="118"/>
      <c r="B70" s="118"/>
      <c r="C70" s="25"/>
      <c r="D70" s="16"/>
      <c r="E70" s="27"/>
      <c r="F70" s="70">
        <f t="shared" si="3"/>
        <v>0</v>
      </c>
    </row>
    <row r="71" spans="1:6" s="55" customFormat="1" ht="12.75" customHeight="1">
      <c r="A71" s="118"/>
      <c r="B71" s="118"/>
      <c r="C71" s="25"/>
      <c r="D71" s="16"/>
      <c r="E71" s="27"/>
      <c r="F71" s="70">
        <f t="shared" si="3"/>
        <v>0</v>
      </c>
    </row>
    <row r="72" spans="1:6" s="59" customFormat="1" ht="12.75" customHeight="1">
      <c r="A72" s="65" t="s">
        <v>74</v>
      </c>
      <c r="B72" s="65"/>
      <c r="C72" s="66"/>
      <c r="D72" s="71"/>
      <c r="E72" s="72"/>
      <c r="F72" s="73">
        <f>SUM(F60:F71)</f>
        <v>3713.92</v>
      </c>
    </row>
    <row r="73" spans="1:6" s="55" customFormat="1" ht="12.75" customHeight="1">
      <c r="A73" s="158" t="s">
        <v>75</v>
      </c>
      <c r="B73" s="158"/>
      <c r="C73" s="62" t="s">
        <v>4</v>
      </c>
      <c r="D73" s="61" t="s">
        <v>49</v>
      </c>
      <c r="E73" s="61" t="s">
        <v>45</v>
      </c>
      <c r="F73" s="61" t="s">
        <v>31</v>
      </c>
    </row>
    <row r="74" spans="1:6" s="55" customFormat="1" ht="12.75" customHeight="1">
      <c r="A74" s="63" t="s">
        <v>76</v>
      </c>
      <c r="B74" s="63"/>
      <c r="C74" s="57" t="s">
        <v>51</v>
      </c>
      <c r="D74" s="16">
        <v>0.5</v>
      </c>
      <c r="E74" s="17">
        <f>41*E9</f>
        <v>1246.3999999999999</v>
      </c>
      <c r="F74" s="70">
        <f t="shared" ref="F74:F78" si="4">D74*E74</f>
        <v>623.19999999999993</v>
      </c>
    </row>
    <row r="75" spans="1:6" s="55" customFormat="1" ht="12.75" customHeight="1">
      <c r="A75" s="74" t="s">
        <v>77</v>
      </c>
      <c r="B75" s="63"/>
      <c r="C75" s="57" t="s">
        <v>51</v>
      </c>
      <c r="D75" s="16"/>
      <c r="E75" s="17"/>
      <c r="F75" s="70">
        <f t="shared" si="4"/>
        <v>0</v>
      </c>
    </row>
    <row r="76" spans="1:6" s="55" customFormat="1" ht="12.75" customHeight="1">
      <c r="A76" s="74" t="s">
        <v>78</v>
      </c>
      <c r="B76" s="63"/>
      <c r="C76" s="57" t="s">
        <v>51</v>
      </c>
      <c r="D76" s="16"/>
      <c r="E76" s="17"/>
      <c r="F76" s="70">
        <f t="shared" si="4"/>
        <v>0</v>
      </c>
    </row>
    <row r="77" spans="1:6" s="55" customFormat="1" ht="12.75" customHeight="1">
      <c r="A77" s="118"/>
      <c r="B77" s="118"/>
      <c r="C77" s="25"/>
      <c r="D77" s="16"/>
      <c r="E77" s="27"/>
      <c r="F77" s="70">
        <f t="shared" si="4"/>
        <v>0</v>
      </c>
    </row>
    <row r="78" spans="1:6" s="55" customFormat="1" ht="12.75" customHeight="1">
      <c r="A78" s="118"/>
      <c r="B78" s="118"/>
      <c r="C78" s="25"/>
      <c r="D78" s="16"/>
      <c r="E78" s="27"/>
      <c r="F78" s="70">
        <f t="shared" si="4"/>
        <v>0</v>
      </c>
    </row>
    <row r="79" spans="1:6" s="59" customFormat="1" ht="12.75" customHeight="1">
      <c r="A79" s="65" t="s">
        <v>79</v>
      </c>
      <c r="B79" s="65"/>
      <c r="C79" s="66"/>
      <c r="D79" s="71"/>
      <c r="E79" s="72"/>
      <c r="F79" s="73">
        <f>SUM(F74:F78)</f>
        <v>623.19999999999993</v>
      </c>
    </row>
    <row r="80" spans="1:6" s="59" customFormat="1" ht="12.75" customHeight="1">
      <c r="A80" s="158" t="s">
        <v>80</v>
      </c>
      <c r="B80" s="158"/>
      <c r="C80" s="62" t="s">
        <v>4</v>
      </c>
      <c r="D80" s="103" t="s">
        <v>81</v>
      </c>
      <c r="E80" s="61" t="s">
        <v>45</v>
      </c>
      <c r="F80" s="61" t="s">
        <v>31</v>
      </c>
    </row>
    <row r="81" spans="1:6" s="55" customFormat="1" ht="12.75" customHeight="1">
      <c r="A81" s="157" t="s">
        <v>82</v>
      </c>
      <c r="B81" s="157"/>
      <c r="C81" s="57" t="s">
        <v>51</v>
      </c>
      <c r="D81" s="16">
        <v>150</v>
      </c>
      <c r="E81" s="17">
        <f>(21.5389+0.454)+(3.9834*0.55)</f>
        <v>24.183770000000003</v>
      </c>
      <c r="F81" s="70">
        <f>D81*E81</f>
        <v>3627.5655000000006</v>
      </c>
    </row>
    <row r="82" spans="1:6" s="55" customFormat="1" ht="12.75" customHeight="1">
      <c r="A82" s="157" t="s">
        <v>83</v>
      </c>
      <c r="B82" s="157"/>
      <c r="C82" s="57" t="s">
        <v>51</v>
      </c>
      <c r="D82" s="16">
        <v>0</v>
      </c>
      <c r="E82" s="17">
        <f>(21.5389+0.454)</f>
        <v>21.992900000000002</v>
      </c>
      <c r="F82" s="70">
        <f>D82*E82</f>
        <v>0</v>
      </c>
    </row>
    <row r="83" spans="1:6" s="55" customFormat="1" ht="12.75" customHeight="1">
      <c r="A83" s="157" t="s">
        <v>84</v>
      </c>
      <c r="B83" s="157"/>
      <c r="C83" s="57" t="s">
        <v>51</v>
      </c>
      <c r="D83" s="16">
        <v>5</v>
      </c>
      <c r="E83" s="17">
        <v>216</v>
      </c>
      <c r="F83" s="70">
        <f>D83*E83</f>
        <v>1080</v>
      </c>
    </row>
    <row r="84" spans="1:6" s="55" customFormat="1" ht="12.75" customHeight="1">
      <c r="A84" s="157" t="s">
        <v>85</v>
      </c>
      <c r="B84" s="157"/>
      <c r="C84" s="57"/>
      <c r="D84" s="88"/>
      <c r="E84" s="17">
        <f>(12648.96*1.25*13*0.7)/70+(12648.96*1.25*0.65*13*0.7)/70</f>
        <v>3391.5023999999994</v>
      </c>
      <c r="F84" s="70">
        <f>E84</f>
        <v>3391.5023999999994</v>
      </c>
    </row>
    <row r="85" spans="1:6" s="55" customFormat="1" ht="12.75" customHeight="1">
      <c r="A85" s="157" t="s">
        <v>86</v>
      </c>
      <c r="B85" s="157"/>
      <c r="C85" s="57"/>
      <c r="D85" s="88"/>
      <c r="E85" s="17">
        <f>(571.23*1.25*60)/70</f>
        <v>612.03214285714284</v>
      </c>
      <c r="F85" s="70">
        <f>E85</f>
        <v>612.03214285714284</v>
      </c>
    </row>
    <row r="86" spans="1:6" s="55" customFormat="1" ht="12.75" customHeight="1">
      <c r="A86" s="157" t="s">
        <v>87</v>
      </c>
      <c r="B86" s="157"/>
      <c r="C86" s="57" t="s">
        <v>88</v>
      </c>
      <c r="D86" s="16">
        <v>1</v>
      </c>
      <c r="E86" s="17">
        <v>195</v>
      </c>
      <c r="F86" s="70">
        <f>D86*E86</f>
        <v>195</v>
      </c>
    </row>
    <row r="87" spans="1:6" s="55" customFormat="1" ht="12.75" customHeight="1">
      <c r="A87" s="157" t="s">
        <v>89</v>
      </c>
      <c r="B87" s="157"/>
      <c r="C87" s="60" t="s">
        <v>90</v>
      </c>
      <c r="D87" s="68"/>
      <c r="E87" s="34">
        <v>2.4199999999999999E-2</v>
      </c>
      <c r="F87" s="70">
        <f>E87*E11</f>
        <v>967.03199999999993</v>
      </c>
    </row>
    <row r="88" spans="1:6" s="55" customFormat="1" ht="12.75" customHeight="1">
      <c r="A88" s="157" t="s">
        <v>125</v>
      </c>
      <c r="B88" s="157"/>
      <c r="C88" s="60"/>
      <c r="D88" s="68"/>
      <c r="E88" s="35">
        <v>351</v>
      </c>
      <c r="F88" s="70">
        <f>E88</f>
        <v>351</v>
      </c>
    </row>
    <row r="89" spans="1:6" s="55" customFormat="1" ht="12.75" customHeight="1">
      <c r="A89" s="118"/>
      <c r="B89" s="118"/>
      <c r="C89" s="25"/>
      <c r="D89" s="12"/>
      <c r="E89" s="35"/>
      <c r="F89" s="70">
        <f>E89*E12</f>
        <v>0</v>
      </c>
    </row>
    <row r="90" spans="1:6" s="55" customFormat="1" ht="12.75" customHeight="1">
      <c r="A90" s="118"/>
      <c r="B90" s="118"/>
      <c r="C90" s="25"/>
      <c r="D90" s="12"/>
      <c r="E90" s="35"/>
      <c r="F90" s="70">
        <f>E90*E13</f>
        <v>0</v>
      </c>
    </row>
    <row r="91" spans="1:6" s="55" customFormat="1" ht="12.75" customHeight="1">
      <c r="A91" s="118"/>
      <c r="B91" s="118"/>
      <c r="C91" s="25"/>
      <c r="D91" s="12"/>
      <c r="E91" s="35"/>
      <c r="F91" s="70">
        <f>E91*E14</f>
        <v>0</v>
      </c>
    </row>
    <row r="92" spans="1:6" s="91" customFormat="1" ht="12.75" customHeight="1">
      <c r="A92" s="65" t="s">
        <v>91</v>
      </c>
      <c r="B92" s="65"/>
      <c r="C92" s="89"/>
      <c r="D92" s="89"/>
      <c r="E92" s="89"/>
      <c r="F92" s="90">
        <f>SUM(F36,F39,F45,F59,F72,F79,F81:F91)</f>
        <v>24217.552042857144</v>
      </c>
    </row>
    <row r="93" spans="1:6" s="55" customFormat="1" ht="12.75" customHeight="1">
      <c r="A93" s="155"/>
      <c r="B93" s="155"/>
      <c r="C93" s="155"/>
      <c r="D93" s="155"/>
      <c r="E93" s="92"/>
    </row>
    <row r="94" spans="1:6" s="55" customFormat="1" ht="12.75" customHeight="1">
      <c r="A94" s="65" t="s">
        <v>92</v>
      </c>
      <c r="B94" s="65"/>
      <c r="C94" s="156" t="s">
        <v>4</v>
      </c>
      <c r="D94" s="156"/>
      <c r="E94" s="61" t="s">
        <v>45</v>
      </c>
      <c r="F94" s="61" t="s">
        <v>31</v>
      </c>
    </row>
    <row r="95" spans="1:6" s="55" customFormat="1" ht="12.75" customHeight="1">
      <c r="A95" s="63" t="s">
        <v>93</v>
      </c>
      <c r="B95" s="63"/>
      <c r="C95" s="154" t="s">
        <v>94</v>
      </c>
      <c r="D95" s="154"/>
      <c r="E95" s="40">
        <v>0.02</v>
      </c>
      <c r="F95" s="93">
        <f>E95*E11</f>
        <v>799.2</v>
      </c>
    </row>
    <row r="96" spans="1:6" s="55" customFormat="1" ht="12.75" customHeight="1">
      <c r="A96" s="63" t="s">
        <v>95</v>
      </c>
      <c r="B96" s="63"/>
      <c r="C96" s="154" t="s">
        <v>94</v>
      </c>
      <c r="D96" s="154"/>
      <c r="E96" s="40">
        <v>0.01</v>
      </c>
      <c r="F96" s="93">
        <f>E96*E11</f>
        <v>399.6</v>
      </c>
    </row>
    <row r="97" spans="1:6" s="55" customFormat="1" ht="12.75" customHeight="1">
      <c r="A97" s="63" t="s">
        <v>96</v>
      </c>
      <c r="B97" s="63"/>
      <c r="C97" s="154" t="s">
        <v>97</v>
      </c>
      <c r="D97" s="154"/>
      <c r="E97" s="42">
        <v>750</v>
      </c>
      <c r="F97" s="93">
        <f>E97*E$10</f>
        <v>4050.0000000000005</v>
      </c>
    </row>
    <row r="98" spans="1:6" s="55" customFormat="1" ht="12.75" customHeight="1">
      <c r="A98" s="63" t="s">
        <v>98</v>
      </c>
      <c r="B98" s="63"/>
      <c r="C98" s="154" t="s">
        <v>97</v>
      </c>
      <c r="D98" s="154"/>
      <c r="E98" s="42">
        <v>1500</v>
      </c>
      <c r="F98" s="93">
        <f>E98*E$10</f>
        <v>8100.0000000000009</v>
      </c>
    </row>
    <row r="99" spans="1:6" s="55" customFormat="1" ht="12.75" customHeight="1">
      <c r="A99" s="118"/>
      <c r="B99" s="118"/>
      <c r="C99" s="119"/>
      <c r="D99" s="119"/>
      <c r="E99" s="42"/>
      <c r="F99" s="93"/>
    </row>
    <row r="100" spans="1:6" s="55" customFormat="1" ht="12.75" customHeight="1">
      <c r="A100" s="118"/>
      <c r="B100" s="118"/>
      <c r="C100" s="119"/>
      <c r="D100" s="119"/>
      <c r="E100" s="42"/>
      <c r="F100" s="93"/>
    </row>
    <row r="101" spans="1:6" s="55" customFormat="1" ht="12.75" customHeight="1">
      <c r="A101" s="118"/>
      <c r="B101" s="118"/>
      <c r="C101" s="119"/>
      <c r="D101" s="119"/>
      <c r="E101" s="42"/>
      <c r="F101" s="93"/>
    </row>
    <row r="102" spans="1:6" s="55" customFormat="1" ht="12.75" customHeight="1">
      <c r="A102" s="65" t="s">
        <v>99</v>
      </c>
      <c r="B102" s="65"/>
      <c r="C102" s="65"/>
      <c r="D102" s="68"/>
      <c r="E102" s="94"/>
      <c r="F102" s="95">
        <f>SUM(F95:F101)</f>
        <v>13348.800000000003</v>
      </c>
    </row>
    <row r="103" spans="1:6" s="55" customFormat="1" ht="12.75" customHeight="1">
      <c r="A103" s="96"/>
      <c r="B103" s="96"/>
      <c r="C103" s="96"/>
      <c r="D103" s="148"/>
      <c r="E103" s="148"/>
      <c r="F103" s="148"/>
    </row>
    <row r="104" spans="1:6" s="55" customFormat="1" ht="12.75" customHeight="1">
      <c r="A104" s="63" t="s">
        <v>100</v>
      </c>
      <c r="B104" s="63"/>
      <c r="C104" s="63"/>
      <c r="D104" s="68"/>
      <c r="E104" s="97"/>
      <c r="F104" s="93">
        <f>SUM(F102,F92)</f>
        <v>37566.35204285715</v>
      </c>
    </row>
    <row r="105" spans="1:6" s="55" customFormat="1" ht="12.75" customHeight="1">
      <c r="A105" s="63" t="s">
        <v>101</v>
      </c>
      <c r="B105" s="63"/>
      <c r="C105" s="63"/>
      <c r="D105" s="68"/>
      <c r="E105" s="97"/>
      <c r="F105" s="47">
        <v>250</v>
      </c>
    </row>
    <row r="106" spans="1:6" s="55" customFormat="1" ht="12.75" customHeight="1">
      <c r="A106" s="63" t="s">
        <v>102</v>
      </c>
      <c r="B106" s="63"/>
      <c r="C106" s="63"/>
      <c r="D106" s="68"/>
      <c r="E106" s="97"/>
      <c r="F106" s="47">
        <v>350</v>
      </c>
    </row>
    <row r="107" spans="1:6" s="55" customFormat="1" ht="12.75" customHeight="1">
      <c r="A107" s="65" t="s">
        <v>103</v>
      </c>
      <c r="B107" s="65"/>
      <c r="C107" s="65"/>
      <c r="D107" s="68"/>
      <c r="E107" s="94"/>
      <c r="F107" s="95">
        <f>SUM(F104:F106)</f>
        <v>38166.35204285715</v>
      </c>
    </row>
    <row r="108" spans="1:6" s="55" customFormat="1" ht="12.75" customHeight="1" thickBot="1"/>
    <row r="109" spans="1:6" s="55" customFormat="1" ht="12.75" customHeight="1" thickBot="1">
      <c r="A109" s="149" t="s">
        <v>104</v>
      </c>
      <c r="B109" s="150"/>
      <c r="C109" s="150"/>
      <c r="D109" s="150"/>
      <c r="E109" s="150"/>
      <c r="F109" s="151"/>
    </row>
    <row r="110" spans="1:6" s="55" customFormat="1" ht="12.75" customHeight="1">
      <c r="A110" s="56"/>
      <c r="B110" s="56"/>
      <c r="C110" s="152" t="s">
        <v>105</v>
      </c>
      <c r="D110" s="153"/>
      <c r="E110" s="152" t="s">
        <v>106</v>
      </c>
      <c r="F110" s="152"/>
    </row>
    <row r="111" spans="1:6" s="55" customFormat="1" ht="12.75" customHeight="1">
      <c r="A111" s="98" t="s">
        <v>107</v>
      </c>
      <c r="B111" s="54"/>
      <c r="C111" s="99">
        <f>E16-F104+F98</f>
        <v>6543.3799571428544</v>
      </c>
      <c r="D111" s="100">
        <f>(E16-F104+F98)/E9</f>
        <v>215.24276174812022</v>
      </c>
      <c r="E111" s="101">
        <f>E16-F104</f>
        <v>-1556.6200428571465</v>
      </c>
      <c r="F111" s="102">
        <f>(E16-F104)/E9</f>
        <v>-51.204606672932449</v>
      </c>
    </row>
    <row r="112" spans="1:6" s="55" customFormat="1" ht="12.75" customHeight="1">
      <c r="A112" s="98" t="s">
        <v>108</v>
      </c>
      <c r="B112" s="54" t="s">
        <v>109</v>
      </c>
      <c r="C112" s="99">
        <f>E16-F107+F98</f>
        <v>5943.3799571428544</v>
      </c>
      <c r="D112" s="100">
        <f>(E16-F107+F98)/E9</f>
        <v>195.50591964285707</v>
      </c>
      <c r="E112" s="101">
        <f>E16-F107</f>
        <v>-2156.6200428571465</v>
      </c>
      <c r="F112" s="102">
        <f>(E16-F107)/E9</f>
        <v>-70.941448778195607</v>
      </c>
    </row>
    <row r="113" spans="1:6" s="55" customFormat="1" ht="12.75" customHeight="1">
      <c r="A113" s="98" t="s">
        <v>110</v>
      </c>
      <c r="B113" s="54"/>
      <c r="C113" s="141">
        <f>C112/(F107-F98)</f>
        <v>0.19767545955262705</v>
      </c>
      <c r="D113" s="142"/>
      <c r="E113" s="143">
        <f>E112/F107</f>
        <v>-5.6505794434727981E-2</v>
      </c>
      <c r="F113" s="144"/>
    </row>
    <row r="114" spans="1:6" s="55" customFormat="1" ht="12.75" customHeight="1">
      <c r="A114" s="98" t="s">
        <v>111</v>
      </c>
      <c r="B114" s="54"/>
      <c r="C114" s="145">
        <f>(F107-F98)/E17</f>
        <v>6178.6354065934975</v>
      </c>
      <c r="D114" s="146"/>
      <c r="E114" s="147">
        <f>F107/E17</f>
        <v>7843.1854232389969</v>
      </c>
      <c r="F114" s="145"/>
    </row>
    <row r="115" spans="1:6" s="55" customFormat="1" ht="12.75" customHeight="1">
      <c r="A115" s="55" t="s">
        <v>112</v>
      </c>
    </row>
    <row r="116" spans="1:6" s="55" customFormat="1" ht="12.75" customHeight="1">
      <c r="A116" s="55" t="s">
        <v>113</v>
      </c>
    </row>
    <row r="117" spans="1:6" s="55" customFormat="1" ht="12.75" customHeight="1">
      <c r="A117" s="55" t="s">
        <v>114</v>
      </c>
    </row>
  </sheetData>
  <mergeCells count="93">
    <mergeCell ref="A7:C7"/>
    <mergeCell ref="E7:F7"/>
    <mergeCell ref="A1:F1"/>
    <mergeCell ref="A3:F3"/>
    <mergeCell ref="A5:F5"/>
    <mergeCell ref="A6:C6"/>
    <mergeCell ref="E6:F6"/>
    <mergeCell ref="A8:C8"/>
    <mergeCell ref="E8:F8"/>
    <mergeCell ref="A9:C9"/>
    <mergeCell ref="E9:F9"/>
    <mergeCell ref="A10:C10"/>
    <mergeCell ref="E10:F10"/>
    <mergeCell ref="A11:C11"/>
    <mergeCell ref="E11:F11"/>
    <mergeCell ref="A12:C12"/>
    <mergeCell ref="E12:F12"/>
    <mergeCell ref="A13:C13"/>
    <mergeCell ref="E13:F13"/>
    <mergeCell ref="A31:B31"/>
    <mergeCell ref="A14:C14"/>
    <mergeCell ref="E14:F14"/>
    <mergeCell ref="A15:C15"/>
    <mergeCell ref="E15:F15"/>
    <mergeCell ref="A16:C16"/>
    <mergeCell ref="E16:F16"/>
    <mergeCell ref="A17:C17"/>
    <mergeCell ref="E17:F17"/>
    <mergeCell ref="A18:C18"/>
    <mergeCell ref="A19:F19"/>
    <mergeCell ref="D20:F21"/>
    <mergeCell ref="A47:B47"/>
    <mergeCell ref="A32:B32"/>
    <mergeCell ref="A33:B33"/>
    <mergeCell ref="A34:B34"/>
    <mergeCell ref="A35:B35"/>
    <mergeCell ref="A38:B38"/>
    <mergeCell ref="A40:B40"/>
    <mergeCell ref="A41:B41"/>
    <mergeCell ref="A42:B42"/>
    <mergeCell ref="A43:B43"/>
    <mergeCell ref="A44:B44"/>
    <mergeCell ref="A46:B46"/>
    <mergeCell ref="A60:B60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85:B85"/>
    <mergeCell ref="A69:B69"/>
    <mergeCell ref="A70:B70"/>
    <mergeCell ref="A71:B71"/>
    <mergeCell ref="A73:B73"/>
    <mergeCell ref="A77:B77"/>
    <mergeCell ref="A78:B78"/>
    <mergeCell ref="A80:B80"/>
    <mergeCell ref="A81:B81"/>
    <mergeCell ref="A82:B82"/>
    <mergeCell ref="A83:B83"/>
    <mergeCell ref="A84:B84"/>
    <mergeCell ref="C98:D98"/>
    <mergeCell ref="A86:B86"/>
    <mergeCell ref="A87:B87"/>
    <mergeCell ref="A88:B88"/>
    <mergeCell ref="A89:B89"/>
    <mergeCell ref="A90:B90"/>
    <mergeCell ref="A91:B91"/>
    <mergeCell ref="A93:D93"/>
    <mergeCell ref="C94:D94"/>
    <mergeCell ref="C95:D95"/>
    <mergeCell ref="C96:D96"/>
    <mergeCell ref="C97:D97"/>
    <mergeCell ref="A99:B99"/>
    <mergeCell ref="C99:D99"/>
    <mergeCell ref="A100:B100"/>
    <mergeCell ref="C100:D100"/>
    <mergeCell ref="A101:B101"/>
    <mergeCell ref="C101:D101"/>
    <mergeCell ref="C114:D114"/>
    <mergeCell ref="E114:F114"/>
    <mergeCell ref="D103:F103"/>
    <mergeCell ref="A109:F109"/>
    <mergeCell ref="C110:D110"/>
    <mergeCell ref="E110:F110"/>
    <mergeCell ref="C113:D113"/>
    <mergeCell ref="E113:F1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Pozo Gasoil</vt:lpstr>
      <vt:lpstr>Pozo Eléctrico</vt:lpstr>
      <vt:lpstr>Represa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Clarisa</cp:lastModifiedBy>
  <dcterms:created xsi:type="dcterms:W3CDTF">2018-08-22T13:31:01Z</dcterms:created>
  <dcterms:modified xsi:type="dcterms:W3CDTF">2018-08-24T17:57:30Z</dcterms:modified>
</cp:coreProperties>
</file>