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ROARROZ\"/>
    </mc:Choice>
  </mc:AlternateContent>
  <bookViews>
    <workbookView xWindow="0" yWindow="0" windowWidth="20490" windowHeight="7755"/>
  </bookViews>
  <sheets>
    <sheet name="Pozo Gasoil" sheetId="1" r:id="rId1"/>
    <sheet name="Pozo Electrico" sheetId="2" r:id="rId2"/>
    <sheet name="Represa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3" l="1"/>
  <c r="E79" i="1"/>
  <c r="E39" i="2" l="1"/>
  <c r="E38" i="2"/>
  <c r="D39" i="2"/>
  <c r="D38" i="2"/>
  <c r="E40" i="1"/>
  <c r="E39" i="1"/>
  <c r="D40" i="1"/>
  <c r="D39" i="1"/>
  <c r="D40" i="3"/>
  <c r="D39" i="3"/>
  <c r="E39" i="3"/>
  <c r="E40" i="3"/>
  <c r="E72" i="3"/>
  <c r="E71" i="2"/>
  <c r="E60" i="3"/>
  <c r="E65" i="3"/>
  <c r="E59" i="2"/>
  <c r="E64" i="2"/>
  <c r="E48" i="3"/>
  <c r="E47" i="2"/>
  <c r="E49" i="3"/>
  <c r="E48" i="2"/>
  <c r="E49" i="1"/>
  <c r="E65" i="1"/>
  <c r="E60" i="1"/>
  <c r="E72" i="1"/>
  <c r="E50" i="1"/>
  <c r="E48" i="1"/>
  <c r="E9" i="2" l="1"/>
  <c r="D28" i="1"/>
  <c r="E6" i="1"/>
  <c r="E6" i="2"/>
  <c r="F88" i="1" l="1"/>
  <c r="F86" i="3"/>
  <c r="F96" i="3"/>
  <c r="F95" i="3"/>
  <c r="F89" i="3"/>
  <c r="F87" i="3"/>
  <c r="F84" i="3"/>
  <c r="F82" i="3"/>
  <c r="F81" i="3"/>
  <c r="F80" i="3"/>
  <c r="F79" i="3"/>
  <c r="F76" i="3"/>
  <c r="F75" i="3"/>
  <c r="F74" i="3"/>
  <c r="F73" i="3"/>
  <c r="F72" i="3"/>
  <c r="F77" i="3" s="1"/>
  <c r="F69" i="3"/>
  <c r="F68" i="3"/>
  <c r="F67" i="3"/>
  <c r="F66" i="3"/>
  <c r="F65" i="3"/>
  <c r="E64" i="3"/>
  <c r="F64" i="3" s="1"/>
  <c r="F63" i="3"/>
  <c r="F62" i="3"/>
  <c r="F61" i="3"/>
  <c r="F60" i="3"/>
  <c r="F59" i="3"/>
  <c r="F56" i="3"/>
  <c r="F55" i="3"/>
  <c r="F54" i="3"/>
  <c r="F53" i="3"/>
  <c r="F52" i="3"/>
  <c r="F51" i="3"/>
  <c r="F50" i="3"/>
  <c r="F49" i="3"/>
  <c r="D48" i="3"/>
  <c r="F48" i="3" s="1"/>
  <c r="F47" i="3"/>
  <c r="F46" i="3"/>
  <c r="F45" i="3"/>
  <c r="F42" i="3"/>
  <c r="F41" i="3"/>
  <c r="F40" i="3"/>
  <c r="F39" i="3"/>
  <c r="F37" i="3"/>
  <c r="F33" i="3"/>
  <c r="F32" i="3"/>
  <c r="F31" i="3"/>
  <c r="F30" i="3"/>
  <c r="F29" i="3"/>
  <c r="D28" i="3"/>
  <c r="F28" i="3" s="1"/>
  <c r="F27" i="3"/>
  <c r="F26" i="3"/>
  <c r="F25" i="3"/>
  <c r="F24" i="3"/>
  <c r="F23" i="3"/>
  <c r="F22" i="3"/>
  <c r="F21" i="3"/>
  <c r="E13" i="3"/>
  <c r="E9" i="3"/>
  <c r="F94" i="3" s="1"/>
  <c r="E6" i="3"/>
  <c r="F79" i="2"/>
  <c r="E11" i="3" l="1"/>
  <c r="F88" i="3" s="1"/>
  <c r="F43" i="3"/>
  <c r="F57" i="3"/>
  <c r="F85" i="3"/>
  <c r="F34" i="3"/>
  <c r="F70" i="3"/>
  <c r="F93" i="3"/>
  <c r="F100" i="3" s="1"/>
  <c r="F90" i="3" l="1"/>
  <c r="F102" i="3" s="1"/>
  <c r="E14" i="3"/>
  <c r="E15" i="3" s="1"/>
  <c r="F105" i="3" l="1"/>
  <c r="E109" i="3"/>
  <c r="F109" i="3"/>
  <c r="D109" i="3"/>
  <c r="C109" i="3"/>
  <c r="C112" i="3" l="1"/>
  <c r="E112" i="3"/>
  <c r="F110" i="3"/>
  <c r="E110" i="3"/>
  <c r="E111" i="3" s="1"/>
  <c r="D110" i="3"/>
  <c r="C110" i="3"/>
  <c r="C111" i="3" s="1"/>
  <c r="F96" i="2" l="1"/>
  <c r="F95" i="2"/>
  <c r="F89" i="2"/>
  <c r="F87" i="2"/>
  <c r="F85" i="2"/>
  <c r="F83" i="2"/>
  <c r="F82" i="2"/>
  <c r="F75" i="2"/>
  <c r="F74" i="2"/>
  <c r="F73" i="2"/>
  <c r="F72" i="2"/>
  <c r="F71" i="2"/>
  <c r="F68" i="2"/>
  <c r="F67" i="2"/>
  <c r="F66" i="2"/>
  <c r="F65" i="2"/>
  <c r="F64" i="2"/>
  <c r="E63" i="2"/>
  <c r="F63" i="2" s="1"/>
  <c r="F62" i="2"/>
  <c r="F61" i="2"/>
  <c r="F60" i="2"/>
  <c r="F59" i="2"/>
  <c r="F58" i="2"/>
  <c r="F55" i="2"/>
  <c r="F54" i="2"/>
  <c r="F53" i="2"/>
  <c r="F52" i="2"/>
  <c r="F51" i="2"/>
  <c r="F50" i="2"/>
  <c r="F49" i="2"/>
  <c r="F48" i="2"/>
  <c r="D47" i="2"/>
  <c r="F47" i="2" s="1"/>
  <c r="F46" i="2"/>
  <c r="F45" i="2"/>
  <c r="F44" i="2"/>
  <c r="F41" i="2"/>
  <c r="F40" i="2"/>
  <c r="F39" i="2"/>
  <c r="F38" i="2"/>
  <c r="F36" i="2"/>
  <c r="F32" i="2"/>
  <c r="F31" i="2"/>
  <c r="F30" i="2"/>
  <c r="F29" i="2"/>
  <c r="D28" i="2"/>
  <c r="F28" i="2" s="1"/>
  <c r="F27" i="2"/>
  <c r="F26" i="2"/>
  <c r="F25" i="2"/>
  <c r="F24" i="2"/>
  <c r="F23" i="2"/>
  <c r="F22" i="2"/>
  <c r="F21" i="2"/>
  <c r="E13" i="2"/>
  <c r="F94" i="2"/>
  <c r="F56" i="2" l="1"/>
  <c r="F76" i="2"/>
  <c r="F86" i="2"/>
  <c r="F69" i="2"/>
  <c r="F42" i="2"/>
  <c r="F33" i="2"/>
  <c r="F93" i="2"/>
  <c r="F100" i="2" s="1"/>
  <c r="E11" i="2"/>
  <c r="F88" i="2" l="1"/>
  <c r="E14" i="2"/>
  <c r="F90" i="2" l="1"/>
  <c r="F102" i="2" s="1"/>
  <c r="E15" i="2"/>
  <c r="F105" i="2" l="1"/>
  <c r="E112" i="2" s="1"/>
  <c r="C109" i="2"/>
  <c r="F109" i="2"/>
  <c r="E109" i="2"/>
  <c r="D109" i="2"/>
  <c r="C112" i="2" l="1"/>
  <c r="F110" i="2"/>
  <c r="C110" i="2"/>
  <c r="C111" i="2" s="1"/>
  <c r="D110" i="2"/>
  <c r="E110" i="2"/>
  <c r="E111" i="2" s="1"/>
  <c r="F40" i="1" l="1"/>
  <c r="F42" i="1" l="1"/>
  <c r="F41" i="1"/>
  <c r="F39" i="1"/>
  <c r="F24" i="1"/>
  <c r="F25" i="1"/>
  <c r="F43" i="1" l="1"/>
  <c r="F31" i="1"/>
  <c r="F32" i="1"/>
  <c r="F33" i="1"/>
  <c r="F21" i="1"/>
  <c r="F22" i="1"/>
  <c r="F23" i="1"/>
  <c r="F26" i="1"/>
  <c r="F27" i="1"/>
  <c r="F29" i="1"/>
  <c r="F30" i="1"/>
  <c r="F76" i="1" l="1"/>
  <c r="F75" i="1"/>
  <c r="F72" i="1" l="1"/>
  <c r="F74" i="1"/>
  <c r="F73" i="1"/>
  <c r="F77" i="1" l="1"/>
  <c r="F94" i="1"/>
  <c r="F95" i="1"/>
  <c r="F59" i="1"/>
  <c r="F69" i="1"/>
  <c r="F86" i="1"/>
  <c r="F84" i="1"/>
  <c r="F80" i="1"/>
  <c r="F67" i="1"/>
  <c r="F68" i="1"/>
  <c r="F66" i="1"/>
  <c r="F65" i="1"/>
  <c r="E64" i="1"/>
  <c r="F64" i="1" s="1"/>
  <c r="F63" i="1"/>
  <c r="F62" i="1"/>
  <c r="F52" i="1"/>
  <c r="F53" i="1"/>
  <c r="F54" i="1"/>
  <c r="F55" i="1"/>
  <c r="F56" i="1"/>
  <c r="F51" i="1"/>
  <c r="F50" i="1"/>
  <c r="F49" i="1" l="1"/>
  <c r="F46" i="1" l="1"/>
  <c r="E13" i="1"/>
  <c r="E9" i="1"/>
  <c r="F85" i="1" s="1"/>
  <c r="D48" i="1"/>
  <c r="F28" i="1"/>
  <c r="F34" i="1" s="1"/>
  <c r="F92" i="1" l="1"/>
  <c r="F93" i="1"/>
  <c r="E11" i="1"/>
  <c r="F87" i="1" s="1"/>
  <c r="F99" i="1" l="1"/>
  <c r="E14" i="1"/>
  <c r="F60" i="1"/>
  <c r="F61" i="1"/>
  <c r="E15" i="1" l="1"/>
  <c r="F82" i="1" l="1"/>
  <c r="F48" i="1" l="1"/>
  <c r="F70" i="1"/>
  <c r="F45" i="1"/>
  <c r="F81" i="1"/>
  <c r="F37" i="1"/>
  <c r="F79" i="1"/>
  <c r="F47" i="1"/>
  <c r="F57" i="1" l="1"/>
  <c r="F89" i="1" s="1"/>
  <c r="F101" i="1" l="1"/>
  <c r="F108" i="1" s="1"/>
  <c r="D108" i="1" l="1"/>
  <c r="E108" i="1"/>
  <c r="C108" i="1"/>
  <c r="F104" i="1"/>
  <c r="F109" i="1" s="1"/>
  <c r="E111" i="1" l="1"/>
  <c r="E109" i="1"/>
  <c r="E110" i="1" s="1"/>
  <c r="C109" i="1"/>
  <c r="C110" i="1" s="1"/>
  <c r="D109" i="1"/>
  <c r="C111" i="1"/>
</calcChain>
</file>

<file path=xl/sharedStrings.xml><?xml version="1.0" encoding="utf-8"?>
<sst xmlns="http://schemas.openxmlformats.org/spreadsheetml/2006/main" count="510" uniqueCount="125">
  <si>
    <t>RIEGO DE POZO PROFUNDO - GASOIL</t>
  </si>
  <si>
    <t>INGRESOS</t>
  </si>
  <si>
    <t>COSTOS</t>
  </si>
  <si>
    <t>INSUMOS</t>
  </si>
  <si>
    <t>Reparación y Conservación</t>
  </si>
  <si>
    <t>Seguro contra viento/granizo</t>
  </si>
  <si>
    <t>TOTAL GASTOS FIJOS DIRECTOS</t>
  </si>
  <si>
    <t>GASTOS VARIABLES DIRECTOS</t>
  </si>
  <si>
    <t>TOTAL GASTOS VARIABLES DIRECTOS</t>
  </si>
  <si>
    <t>TOTAL GASTOS DIRECTOS</t>
  </si>
  <si>
    <t>GASTOS ESTRUCTURA</t>
  </si>
  <si>
    <t xml:space="preserve">AMORTIZACIONES DIRECTAS </t>
  </si>
  <si>
    <t>COSTO TOTAL POR HECTÁREA</t>
  </si>
  <si>
    <t>MARGEN BRUTO</t>
  </si>
  <si>
    <t>UTILIDAD</t>
  </si>
  <si>
    <t>RENTABILIDAD (%)</t>
  </si>
  <si>
    <t>RENDIMIENTO INDIFERENCIA (Kg/ha)</t>
  </si>
  <si>
    <t>Kg/ha</t>
  </si>
  <si>
    <t>US$/Kg</t>
  </si>
  <si>
    <t>$/US$</t>
  </si>
  <si>
    <t>$/Kg</t>
  </si>
  <si>
    <t>$/ha</t>
  </si>
  <si>
    <t>Rendimiento Esperado</t>
  </si>
  <si>
    <t>Tipo de Cambio</t>
  </si>
  <si>
    <t>Precio del arroz cascara puesto en planta - dolares</t>
  </si>
  <si>
    <t>Precio del arroz cáscara puesto en planta - pesos</t>
  </si>
  <si>
    <t>Ingreso Bruto</t>
  </si>
  <si>
    <t>INGRESO NETO</t>
  </si>
  <si>
    <t>Precio del arroz cascara, seco puesto en chacra - pesos</t>
  </si>
  <si>
    <t>$/Ton</t>
  </si>
  <si>
    <t>%</t>
  </si>
  <si>
    <t>Costo Secado (secado + paritaria)</t>
  </si>
  <si>
    <t>Item</t>
  </si>
  <si>
    <t>Unidad</t>
  </si>
  <si>
    <t>Valor</t>
  </si>
  <si>
    <t>Labores</t>
  </si>
  <si>
    <t>Costo/ha</t>
  </si>
  <si>
    <t>Siembra</t>
  </si>
  <si>
    <t>Construccion de canales</t>
  </si>
  <si>
    <t># Labores</t>
  </si>
  <si>
    <t>Rastra pesada</t>
  </si>
  <si>
    <t>Rastra liviana</t>
  </si>
  <si>
    <t>Aplicación terrestre de fertilizante</t>
  </si>
  <si>
    <t>Aplicacion terrestre de herbicida</t>
  </si>
  <si>
    <t>Precio de la UTA</t>
  </si>
  <si>
    <t>Semilla</t>
  </si>
  <si>
    <t>Dosis/ha</t>
  </si>
  <si>
    <t>Quelato de zinc 5%</t>
  </si>
  <si>
    <t>Urea Granulada</t>
  </si>
  <si>
    <t>Formula 6-30-20</t>
  </si>
  <si>
    <t>Formula 7-40-0</t>
  </si>
  <si>
    <t>Formula 4-30-20</t>
  </si>
  <si>
    <t>Formula 15-15-15</t>
  </si>
  <si>
    <t>Fosfato Diamonico</t>
  </si>
  <si>
    <t>Fosfato Monoamonico</t>
  </si>
  <si>
    <r>
      <t>Gasoil para riego (sin IVA ni ITC</t>
    </r>
    <r>
      <rPr>
        <b/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>)</t>
    </r>
  </si>
  <si>
    <r>
      <rPr>
        <b/>
        <vertAlign val="superscript"/>
        <sz val="8"/>
        <color theme="1"/>
        <rFont val="Arial"/>
        <family val="2"/>
      </rPr>
      <t xml:space="preserve">1. </t>
    </r>
    <r>
      <rPr>
        <sz val="8"/>
        <color theme="1"/>
        <rFont val="Arial"/>
        <family val="2"/>
      </rPr>
      <t>Asumiendo que el IVA y el ITC se pueden descontar del impuesto a las ganancias</t>
    </r>
  </si>
  <si>
    <t>Gasoil para otros usos generales</t>
  </si>
  <si>
    <t>Aceite para motor diesel</t>
  </si>
  <si>
    <t>Aplicación Aérea de fertilizante (60Kg de urea)</t>
  </si>
  <si>
    <t>Labor</t>
  </si>
  <si>
    <r>
      <t>Personal Permanente</t>
    </r>
    <r>
      <rPr>
        <b/>
        <vertAlign val="superscript"/>
        <sz val="8"/>
        <color rgb="FF000000"/>
        <rFont val="Arial"/>
        <family val="2"/>
      </rPr>
      <t>2</t>
    </r>
  </si>
  <si>
    <r>
      <t>Personal Transitorio</t>
    </r>
    <r>
      <rPr>
        <b/>
        <vertAlign val="superscript"/>
        <sz val="8"/>
        <color rgb="FF000000"/>
        <rFont val="Arial"/>
        <family val="2"/>
      </rPr>
      <t>3</t>
    </r>
  </si>
  <si>
    <r>
      <rPr>
        <b/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. Costo estimado tomando en cuenta el empleo de 60 jornales cada 70 hectareas de arroz</t>
    </r>
  </si>
  <si>
    <t>% Asegurado</t>
  </si>
  <si>
    <t>Costo</t>
  </si>
  <si>
    <t>Precio/Unidad</t>
  </si>
  <si>
    <t>% produccion</t>
  </si>
  <si>
    <t>Kg arroz cascara</t>
  </si>
  <si>
    <t>Bonificación Personal</t>
  </si>
  <si>
    <t>Asesoramiento Técnico</t>
  </si>
  <si>
    <t>Gastos cosecha y Acarreo</t>
  </si>
  <si>
    <t>Total Labores</t>
  </si>
  <si>
    <t>Total herbicidas</t>
  </si>
  <si>
    <t>Herbicidas</t>
  </si>
  <si>
    <t>Fertilizantes</t>
  </si>
  <si>
    <t>Total fertilizantes</t>
  </si>
  <si>
    <t>Arrendamiento</t>
  </si>
  <si>
    <t>Campo Propio</t>
  </si>
  <si>
    <t>Campo Arrendado</t>
  </si>
  <si>
    <t>RESULTADOS ECONOMICOS</t>
  </si>
  <si>
    <r>
      <rPr>
        <vertAlign val="superscript"/>
        <sz val="8"/>
        <color theme="1"/>
        <rFont val="Arial"/>
        <family val="2"/>
      </rPr>
      <t>2.</t>
    </r>
    <r>
      <rPr>
        <sz val="8"/>
        <color theme="1"/>
        <rFont val="Arial"/>
        <family val="2"/>
      </rPr>
      <t xml:space="preserve"> Costo estimado asumiendo el empleo de 1 empleado permanente cada 70 has y afectado 70% al cultivo de arroz</t>
    </r>
  </si>
  <si>
    <t>Fungicidas</t>
  </si>
  <si>
    <t>Cantidad/ha</t>
  </si>
  <si>
    <t>Kg</t>
  </si>
  <si>
    <t>Lt</t>
  </si>
  <si>
    <t>Total fungicidas</t>
  </si>
  <si>
    <t>Aplicacion aerea de fungicida</t>
  </si>
  <si>
    <t>Otros Insumos</t>
  </si>
  <si>
    <t>cantidad/ha</t>
  </si>
  <si>
    <t>Nominee 40 SC (Bispiribac sodio)</t>
  </si>
  <si>
    <t>Nominee Gold 10 SC (Bispiribac sodio)</t>
  </si>
  <si>
    <t>Facet (Quinclorac)</t>
  </si>
  <si>
    <t>Glifosato 40%</t>
  </si>
  <si>
    <t>Kifix (Imazapyr + Imazapic)</t>
  </si>
  <si>
    <t>Command 48 SC (Clomazone)</t>
  </si>
  <si>
    <t>Command 36 SC (Clomazone)</t>
  </si>
  <si>
    <t>Clincher (Cyhalofop-butyl)</t>
  </si>
  <si>
    <t>Aura (Profoxidim)</t>
  </si>
  <si>
    <t>Amistar (Azoxistrobin + Ciproconazol)</t>
  </si>
  <si>
    <t>Allegro (Kresoxim metil  + Epoxiconazole)</t>
  </si>
  <si>
    <t>Opera (Pyraclostrobin + Epoxiconazole)</t>
  </si>
  <si>
    <t>UTA/Labor   o</t>
  </si>
  <si>
    <t>Precio/Labor</t>
  </si>
  <si>
    <t>Si usa el Precio/Labor debajo para estimar el costo de las labores, por favor ingrese $0 en el precio de la UTA</t>
  </si>
  <si>
    <t xml:space="preserve">Flete </t>
  </si>
  <si>
    <t>Flete</t>
  </si>
  <si>
    <t xml:space="preserve">Nivelación </t>
  </si>
  <si>
    <t>Marcacion y taipeado</t>
  </si>
  <si>
    <t>Tratamiento de Semillas</t>
  </si>
  <si>
    <t>Fungicida</t>
  </si>
  <si>
    <t>Zinc</t>
  </si>
  <si>
    <t>Total tratamiento de semillas</t>
  </si>
  <si>
    <t>Costo/Unidad   o</t>
  </si>
  <si>
    <t>Costo Total/ha</t>
  </si>
  <si>
    <r>
      <t>Personal Permanente</t>
    </r>
    <r>
      <rPr>
        <b/>
        <vertAlign val="superscript"/>
        <sz val="8"/>
        <color rgb="FF000000"/>
        <rFont val="Arial"/>
        <family val="2"/>
      </rPr>
      <t>1</t>
    </r>
  </si>
  <si>
    <r>
      <t>Personal Transitorio</t>
    </r>
    <r>
      <rPr>
        <b/>
        <vertAlign val="superscript"/>
        <sz val="8"/>
        <color rgb="FF000000"/>
        <rFont val="Arial"/>
        <family val="2"/>
      </rPr>
      <t>2</t>
    </r>
  </si>
  <si>
    <t>Conservacion de represas y canales</t>
  </si>
  <si>
    <t>(=MB - Estruc - Amort)</t>
  </si>
  <si>
    <t>RIEGO DE REPRESA - GASOIL</t>
  </si>
  <si>
    <t>kW</t>
  </si>
  <si>
    <t>Electricidad riego</t>
  </si>
  <si>
    <r>
      <rPr>
        <vertAlign val="superscript"/>
        <sz val="8"/>
        <color theme="1"/>
        <rFont val="Arial"/>
        <family val="2"/>
      </rPr>
      <t>1.</t>
    </r>
    <r>
      <rPr>
        <sz val="8"/>
        <color theme="1"/>
        <rFont val="Arial"/>
        <family val="2"/>
      </rPr>
      <t xml:space="preserve"> Costo estimado asumiendo el empleo de 1 empleado permanente cada 80 has y afectado 70% al cultivo de arroz</t>
    </r>
  </si>
  <si>
    <r>
      <rPr>
        <b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. Costo estimado tomando en cuenta el empleo de 60 jornales cada 80 hectareas de arroz</t>
    </r>
  </si>
  <si>
    <t>RIEGO DE POZO PROFUNDO -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</si>
</sst>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* #,##0.00_);_(&quot;$&quot;* \(#,##0.00\);_(&quot;$&quot;* &quot;-&quot;??_);_(@_)"/>
    <numFmt numFmtId="165" formatCode="#,##0.0"/>
    <numFmt numFmtId="166" formatCode="0.0%"/>
    <numFmt numFmtId="167" formatCode="&quot;$&quot;#,##0.0"/>
    <numFmt numFmtId="168" formatCode="[$USD]\ #,##0.000"/>
    <numFmt numFmtId="169" formatCode="&quot;$&quot;#,##0.000"/>
    <numFmt numFmtId="170" formatCode="&quot;$&quot;#,##0"/>
    <numFmt numFmtId="171" formatCode="&quot;$&quot;#,##0.0_);\(&quot;$&quot;#,##0.0\)"/>
    <numFmt numFmtId="172" formatCode="[$USD]\ 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333333"/>
      <name val="Arial"/>
      <family val="2"/>
    </font>
    <font>
      <sz val="7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/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4" fillId="2" borderId="5" xfId="0" applyFont="1" applyFill="1" applyBorder="1"/>
    <xf numFmtId="167" fontId="3" fillId="2" borderId="5" xfId="1" applyNumberFormat="1" applyFont="1" applyFill="1" applyBorder="1" applyAlignment="1"/>
    <xf numFmtId="167" fontId="4" fillId="2" borderId="5" xfId="1" applyNumberFormat="1" applyFont="1" applyFill="1" applyBorder="1" applyAlignment="1"/>
    <xf numFmtId="167" fontId="5" fillId="2" borderId="5" xfId="1" applyNumberFormat="1" applyFont="1" applyFill="1" applyBorder="1" applyAlignment="1">
      <alignment horizontal="right"/>
    </xf>
    <xf numFmtId="167" fontId="2" fillId="2" borderId="5" xfId="1" applyNumberFormat="1" applyFont="1" applyFill="1" applyBorder="1" applyAlignment="1">
      <alignment horizontal="right"/>
    </xf>
    <xf numFmtId="167" fontId="2" fillId="2" borderId="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72" fontId="4" fillId="2" borderId="5" xfId="0" applyNumberFormat="1" applyFont="1" applyFill="1" applyBorder="1" applyAlignment="1">
      <alignment horizontal="right"/>
    </xf>
    <xf numFmtId="0" fontId="3" fillId="2" borderId="5" xfId="0" applyFont="1" applyFill="1" applyBorder="1"/>
    <xf numFmtId="172" fontId="4" fillId="2" borderId="6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9" fillId="0" borderId="0" xfId="0" applyFont="1"/>
    <xf numFmtId="167" fontId="5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167" fontId="2" fillId="2" borderId="5" xfId="0" applyNumberFormat="1" applyFont="1" applyFill="1" applyBorder="1" applyAlignment="1"/>
    <xf numFmtId="3" fontId="5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3" fillId="2" borderId="5" xfId="0" applyFont="1" applyFill="1" applyBorder="1" applyAlignment="1">
      <alignment horizontal="left" indent="4"/>
    </xf>
    <xf numFmtId="0" fontId="4" fillId="2" borderId="5" xfId="0" applyFont="1" applyFill="1" applyBorder="1" applyAlignment="1">
      <alignment horizontal="left" indent="4"/>
    </xf>
    <xf numFmtId="2" fontId="2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horizontal="center"/>
    </xf>
    <xf numFmtId="171" fontId="3" fillId="4" borderId="5" xfId="1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protection locked="0"/>
    </xf>
    <xf numFmtId="167" fontId="3" fillId="4" borderId="5" xfId="0" applyNumberFormat="1" applyFont="1" applyFill="1" applyBorder="1" applyAlignment="1" applyProtection="1">
      <protection locked="0"/>
    </xf>
    <xf numFmtId="0" fontId="5" fillId="4" borderId="5" xfId="0" applyFont="1" applyFill="1" applyBorder="1" applyAlignment="1" applyProtection="1">
      <alignment horizontal="right"/>
      <protection locked="0"/>
    </xf>
    <xf numFmtId="167" fontId="5" fillId="4" borderId="5" xfId="1" applyNumberFormat="1" applyFont="1" applyFill="1" applyBorder="1" applyAlignment="1" applyProtection="1">
      <alignment horizontal="right"/>
      <protection locked="0"/>
    </xf>
    <xf numFmtId="164" fontId="5" fillId="4" borderId="5" xfId="1" applyFont="1" applyFill="1" applyBorder="1" applyAlignment="1" applyProtection="1">
      <alignment horizontal="right"/>
      <protection locked="0"/>
    </xf>
    <xf numFmtId="0" fontId="5" fillId="4" borderId="5" xfId="0" applyFont="1" applyFill="1" applyBorder="1" applyAlignment="1" applyProtection="1">
      <alignment horizontal="left" indent="4"/>
      <protection locked="0"/>
    </xf>
    <xf numFmtId="2" fontId="5" fillId="4" borderId="5" xfId="0" applyNumberFormat="1" applyFont="1" applyFill="1" applyBorder="1" applyAlignment="1" applyProtection="1">
      <alignment horizontal="right"/>
      <protection locked="0"/>
    </xf>
    <xf numFmtId="167" fontId="5" fillId="4" borderId="5" xfId="0" applyNumberFormat="1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0" fontId="5" fillId="4" borderId="5" xfId="2" applyNumberFormat="1" applyFont="1" applyFill="1" applyBorder="1" applyAlignment="1" applyProtection="1">
      <alignment horizontal="right"/>
      <protection locked="0"/>
    </xf>
    <xf numFmtId="167" fontId="5" fillId="4" borderId="5" xfId="2" applyNumberFormat="1" applyFont="1" applyFill="1" applyBorder="1" applyAlignment="1" applyProtection="1">
      <alignment horizontal="right"/>
      <protection locked="0"/>
    </xf>
    <xf numFmtId="9" fontId="5" fillId="4" borderId="5" xfId="2" applyFont="1" applyFill="1" applyBorder="1" applyAlignment="1" applyProtection="1">
      <protection locked="0"/>
    </xf>
    <xf numFmtId="3" fontId="5" fillId="4" borderId="5" xfId="0" applyNumberFormat="1" applyFont="1" applyFill="1" applyBorder="1" applyAlignment="1" applyProtection="1">
      <protection locked="0"/>
    </xf>
    <xf numFmtId="167" fontId="5" fillId="4" borderId="5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/>
    <xf numFmtId="0" fontId="4" fillId="2" borderId="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left" indent="4"/>
    </xf>
    <xf numFmtId="0" fontId="4" fillId="2" borderId="5" xfId="0" applyFont="1" applyFill="1" applyBorder="1" applyAlignment="1" applyProtection="1">
      <alignment horizontal="left" indent="4"/>
    </xf>
    <xf numFmtId="0" fontId="4" fillId="2" borderId="0" xfId="0" applyFont="1" applyFill="1" applyBorder="1" applyAlignment="1" applyProtection="1"/>
    <xf numFmtId="0" fontId="3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/>
    <xf numFmtId="167" fontId="3" fillId="2" borderId="5" xfId="1" applyNumberFormat="1" applyFont="1" applyFill="1" applyBorder="1" applyAlignment="1" applyProtection="1"/>
    <xf numFmtId="0" fontId="2" fillId="2" borderId="5" xfId="0" applyFont="1" applyFill="1" applyBorder="1" applyAlignment="1" applyProtection="1"/>
    <xf numFmtId="0" fontId="4" fillId="2" borderId="5" xfId="0" applyFont="1" applyFill="1" applyBorder="1" applyAlignment="1" applyProtection="1"/>
    <xf numFmtId="167" fontId="4" fillId="2" borderId="5" xfId="1" applyNumberFormat="1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0" xfId="0" applyFont="1" applyFill="1" applyBorder="1" applyProtection="1"/>
    <xf numFmtId="167" fontId="5" fillId="2" borderId="5" xfId="1" applyNumberFormat="1" applyFont="1" applyFill="1" applyBorder="1" applyAlignment="1" applyProtection="1">
      <alignment horizontal="right"/>
    </xf>
    <xf numFmtId="2" fontId="2" fillId="2" borderId="5" xfId="0" applyNumberFormat="1" applyFont="1" applyFill="1" applyBorder="1" applyAlignment="1" applyProtection="1">
      <alignment horizontal="right"/>
    </xf>
    <xf numFmtId="165" fontId="2" fillId="2" borderId="5" xfId="0" applyNumberFormat="1" applyFont="1" applyFill="1" applyBorder="1" applyAlignment="1" applyProtection="1">
      <alignment horizontal="right"/>
    </xf>
    <xf numFmtId="167" fontId="2" fillId="2" borderId="5" xfId="1" applyNumberFormat="1" applyFont="1" applyFill="1" applyBorder="1" applyAlignment="1" applyProtection="1">
      <alignment horizontal="right"/>
    </xf>
    <xf numFmtId="0" fontId="9" fillId="0" borderId="0" xfId="0" applyFont="1" applyProtection="1"/>
    <xf numFmtId="2" fontId="2" fillId="2" borderId="5" xfId="0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right"/>
    </xf>
    <xf numFmtId="0" fontId="4" fillId="2" borderId="5" xfId="0" applyFont="1" applyFill="1" applyBorder="1" applyProtection="1"/>
    <xf numFmtId="167" fontId="2" fillId="2" borderId="5" xfId="0" applyNumberFormat="1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top"/>
    </xf>
    <xf numFmtId="167" fontId="5" fillId="2" borderId="5" xfId="0" applyNumberFormat="1" applyFont="1" applyFill="1" applyBorder="1" applyAlignment="1" applyProtection="1"/>
    <xf numFmtId="3" fontId="2" fillId="2" borderId="5" xfId="0" applyNumberFormat="1" applyFont="1" applyFill="1" applyBorder="1" applyAlignment="1" applyProtection="1"/>
    <xf numFmtId="167" fontId="2" fillId="2" borderId="5" xfId="0" applyNumberFormat="1" applyFont="1" applyFill="1" applyBorder="1" applyAlignment="1" applyProtection="1"/>
    <xf numFmtId="0" fontId="5" fillId="2" borderId="0" xfId="0" applyFont="1" applyFill="1" applyBorder="1" applyAlignment="1" applyProtection="1"/>
    <xf numFmtId="3" fontId="5" fillId="2" borderId="5" xfId="0" applyNumberFormat="1" applyFont="1" applyFill="1" applyBorder="1" applyAlignment="1" applyProtection="1"/>
    <xf numFmtId="0" fontId="4" fillId="2" borderId="5" xfId="0" applyFont="1" applyFill="1" applyBorder="1" applyAlignment="1" applyProtection="1">
      <alignment horizontal="left"/>
    </xf>
    <xf numFmtId="0" fontId="3" fillId="2" borderId="5" xfId="0" applyFont="1" applyFill="1" applyBorder="1" applyProtection="1"/>
    <xf numFmtId="167" fontId="4" fillId="2" borderId="5" xfId="0" applyNumberFormat="1" applyFont="1" applyFill="1" applyBorder="1" applyAlignment="1" applyProtection="1">
      <alignment horizontal="right"/>
    </xf>
    <xf numFmtId="172" fontId="4" fillId="2" borderId="6" xfId="0" applyNumberFormat="1" applyFont="1" applyFill="1" applyBorder="1" applyAlignment="1" applyProtection="1">
      <alignment horizontal="right"/>
    </xf>
    <xf numFmtId="172" fontId="4" fillId="2" borderId="5" xfId="0" applyNumberFormat="1" applyFont="1" applyFill="1" applyBorder="1" applyAlignment="1" applyProtection="1">
      <alignment horizontal="right"/>
    </xf>
    <xf numFmtId="0" fontId="2" fillId="2" borderId="5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11" fillId="2" borderId="5" xfId="0" applyFont="1" applyFill="1" applyBorder="1" applyAlignment="1"/>
    <xf numFmtId="0" fontId="11" fillId="2" borderId="5" xfId="0" applyFont="1" applyFill="1" applyBorder="1" applyAlignment="1">
      <alignment horizontal="left" indent="4"/>
    </xf>
    <xf numFmtId="167" fontId="13" fillId="2" borderId="5" xfId="1" applyNumberFormat="1" applyFont="1" applyFill="1" applyBorder="1" applyAlignment="1"/>
    <xf numFmtId="0" fontId="13" fillId="2" borderId="5" xfId="0" applyFont="1" applyFill="1" applyBorder="1" applyAlignment="1" applyProtection="1">
      <protection locked="0"/>
    </xf>
    <xf numFmtId="167" fontId="11" fillId="2" borderId="5" xfId="0" applyNumberFormat="1" applyFont="1" applyFill="1" applyBorder="1" applyAlignment="1" applyProtection="1">
      <protection locked="0"/>
    </xf>
    <xf numFmtId="167" fontId="13" fillId="2" borderId="5" xfId="0" applyNumberFormat="1" applyFont="1" applyFill="1" applyBorder="1" applyAlignment="1" applyProtection="1">
      <protection locked="0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 indent="4"/>
    </xf>
    <xf numFmtId="0" fontId="14" fillId="0" borderId="5" xfId="0" applyFont="1" applyFill="1" applyBorder="1" applyAlignment="1" applyProtection="1">
      <alignment horizontal="center"/>
      <protection locked="0"/>
    </xf>
    <xf numFmtId="167" fontId="14" fillId="0" borderId="5" xfId="0" applyNumberFormat="1" applyFont="1" applyFill="1" applyBorder="1" applyAlignment="1" applyProtection="1">
      <protection locked="0"/>
    </xf>
    <xf numFmtId="167" fontId="14" fillId="0" borderId="5" xfId="1" applyNumberFormat="1" applyFont="1" applyFill="1" applyBorder="1" applyAlignment="1"/>
    <xf numFmtId="0" fontId="4" fillId="2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/>
    <xf numFmtId="0" fontId="5" fillId="4" borderId="5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alignment horizontal="left" indent="6"/>
    </xf>
    <xf numFmtId="3" fontId="5" fillId="2" borderId="0" xfId="0" applyNumberFormat="1" applyFont="1" applyFill="1" applyBorder="1" applyAlignment="1" applyProtection="1"/>
    <xf numFmtId="0" fontId="5" fillId="4" borderId="5" xfId="0" applyFont="1" applyFill="1" applyBorder="1" applyAlignment="1" applyProtection="1">
      <alignment horizontal="left" indent="6"/>
      <protection locked="0"/>
    </xf>
    <xf numFmtId="0" fontId="2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8" xfId="0" applyFont="1" applyFill="1" applyBorder="1" applyAlignment="1" applyProtection="1"/>
    <xf numFmtId="0" fontId="10" fillId="2" borderId="1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166" fontId="4" fillId="2" borderId="5" xfId="2" applyNumberFormat="1" applyFont="1" applyFill="1" applyBorder="1" applyAlignment="1" applyProtection="1">
      <alignment horizontal="center"/>
    </xf>
    <xf numFmtId="166" fontId="4" fillId="2" borderId="6" xfId="2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>
      <alignment horizontal="center"/>
    </xf>
    <xf numFmtId="3" fontId="4" fillId="2" borderId="6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166" fontId="4" fillId="2" borderId="4" xfId="2" applyNumberFormat="1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169" fontId="5" fillId="2" borderId="5" xfId="0" applyNumberFormat="1" applyFont="1" applyFill="1" applyBorder="1" applyAlignment="1" applyProtection="1">
      <alignment horizontal="right" indent="8"/>
    </xf>
    <xf numFmtId="0" fontId="3" fillId="2" borderId="5" xfId="0" applyFont="1" applyFill="1" applyBorder="1" applyAlignment="1" applyProtection="1"/>
    <xf numFmtId="0" fontId="5" fillId="2" borderId="5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17" fontId="2" fillId="2" borderId="0" xfId="0" quotePrefix="1" applyNumberFormat="1" applyFont="1" applyFill="1" applyBorder="1" applyAlignment="1" applyProtection="1">
      <alignment horizontal="center"/>
    </xf>
    <xf numFmtId="170" fontId="5" fillId="2" borderId="5" xfId="0" applyNumberFormat="1" applyFont="1" applyFill="1" applyBorder="1" applyAlignment="1" applyProtection="1">
      <alignment horizontal="right" indent="8"/>
    </xf>
    <xf numFmtId="170" fontId="5" fillId="4" borderId="5" xfId="0" applyNumberFormat="1" applyFont="1" applyFill="1" applyBorder="1" applyAlignment="1" applyProtection="1">
      <alignment horizontal="right" indent="8"/>
      <protection locked="0"/>
    </xf>
    <xf numFmtId="166" fontId="5" fillId="4" borderId="5" xfId="2" applyNumberFormat="1" applyFont="1" applyFill="1" applyBorder="1" applyAlignment="1" applyProtection="1">
      <alignment horizontal="right" indent="8"/>
      <protection locked="0"/>
    </xf>
    <xf numFmtId="3" fontId="5" fillId="4" borderId="5" xfId="0" applyNumberFormat="1" applyFont="1" applyFill="1" applyBorder="1" applyAlignment="1" applyProtection="1">
      <alignment horizontal="right" indent="8"/>
      <protection locked="0"/>
    </xf>
    <xf numFmtId="168" fontId="5" fillId="2" borderId="5" xfId="0" applyNumberFormat="1" applyFont="1" applyFill="1" applyBorder="1" applyAlignment="1" applyProtection="1">
      <alignment horizontal="right" indent="8"/>
    </xf>
    <xf numFmtId="4" fontId="5" fillId="4" borderId="5" xfId="0" applyNumberFormat="1" applyFont="1" applyFill="1" applyBorder="1" applyAlignment="1" applyProtection="1">
      <alignment horizontal="right" indent="8"/>
      <protection locked="0"/>
    </xf>
    <xf numFmtId="170" fontId="2" fillId="2" borderId="5" xfId="0" applyNumberFormat="1" applyFont="1" applyFill="1" applyBorder="1" applyAlignment="1" applyProtection="1">
      <alignment horizontal="right" indent="8"/>
    </xf>
    <xf numFmtId="0" fontId="2" fillId="2" borderId="5" xfId="0" applyFont="1" applyFill="1" applyBorder="1" applyAlignment="1" applyProtection="1"/>
    <xf numFmtId="169" fontId="5" fillId="4" borderId="5" xfId="0" applyNumberFormat="1" applyFont="1" applyFill="1" applyBorder="1" applyAlignment="1" applyProtection="1">
      <alignment horizontal="right" indent="8"/>
      <protection locked="0"/>
    </xf>
    <xf numFmtId="0" fontId="5" fillId="2" borderId="5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8" fontId="5" fillId="2" borderId="5" xfId="0" applyNumberFormat="1" applyFont="1" applyFill="1" applyBorder="1" applyAlignment="1">
      <alignment horizontal="right" indent="8"/>
    </xf>
    <xf numFmtId="170" fontId="5" fillId="2" borderId="5" xfId="0" applyNumberFormat="1" applyFont="1" applyFill="1" applyBorder="1" applyAlignment="1">
      <alignment horizontal="right" indent="8"/>
    </xf>
    <xf numFmtId="0" fontId="2" fillId="2" borderId="5" xfId="0" applyFont="1" applyFill="1" applyBorder="1" applyAlignment="1"/>
    <xf numFmtId="170" fontId="2" fillId="2" borderId="5" xfId="0" applyNumberFormat="1" applyFont="1" applyFill="1" applyBorder="1" applyAlignment="1">
      <alignment horizontal="right" indent="8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169" fontId="5" fillId="2" borderId="5" xfId="0" applyNumberFormat="1" applyFont="1" applyFill="1" applyBorder="1" applyAlignment="1">
      <alignment horizontal="right" indent="8"/>
    </xf>
    <xf numFmtId="0" fontId="3" fillId="2" borderId="8" xfId="0" applyFont="1" applyFill="1" applyBorder="1" applyAlignment="1"/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indent="6"/>
    </xf>
    <xf numFmtId="3" fontId="5" fillId="2" borderId="0" xfId="0" applyNumberFormat="1" applyFont="1" applyFill="1" applyBorder="1" applyAlignment="1"/>
    <xf numFmtId="0" fontId="4" fillId="2" borderId="9" xfId="0" applyFont="1" applyFill="1" applyBorder="1" applyAlignment="1">
      <alignment horizontal="center"/>
    </xf>
    <xf numFmtId="166" fontId="4" fillId="2" borderId="5" xfId="2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>
      <alignment horizontal="center"/>
    </xf>
    <xf numFmtId="166" fontId="15" fillId="2" borderId="4" xfId="2" applyNumberFormat="1" applyFont="1" applyFill="1" applyBorder="1" applyAlignment="1">
      <alignment horizontal="center"/>
    </xf>
    <xf numFmtId="166" fontId="15" fillId="2" borderId="5" xfId="2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17" fontId="2" fillId="2" borderId="0" xfId="0" quotePrefix="1" applyNumberFormat="1" applyFont="1" applyFill="1" applyBorder="1" applyAlignment="1">
      <alignment horizontal="center"/>
    </xf>
    <xf numFmtId="166" fontId="4" fillId="2" borderId="4" xfId="2" applyNumberFormat="1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an/Downloads/Costos%20PROARRO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2006"/>
      <sheetName val="JUN 2007"/>
      <sheetName val="MAY 2012"/>
      <sheetName val="SEP 2012"/>
      <sheetName val="MAR 2013"/>
      <sheetName val="SEP 2013"/>
      <sheetName val="DIC 2013"/>
      <sheetName val="FEB 2014"/>
      <sheetName val="JUNIO2014"/>
      <sheetName val="ABRIL 2016"/>
      <sheetName val="SEP 2012-Resumen"/>
      <sheetName val="Resumen-SEP 2012"/>
      <sheetName val="Precios"/>
      <sheetName val="Sheet1"/>
      <sheetName val="Cantidad"/>
      <sheetName val="Costos - historico"/>
      <sheetName val="Resumen x Sistema"/>
      <sheetName val="graficos"/>
      <sheetName val="Sheet2"/>
      <sheetName val="Analisis Gasoil"/>
      <sheetName val="Sheet3"/>
      <sheetName val="Recaudacion provincia"/>
      <sheetName val="Mano de Obra"/>
      <sheetName val="Capital Fundiario"/>
      <sheetName val="Capital Explot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S8">
            <v>1.2</v>
          </cell>
        </row>
        <row r="9">
          <cell r="S9">
            <v>4</v>
          </cell>
        </row>
        <row r="21">
          <cell r="S21">
            <v>0.5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zoomScale="130" zoomScaleNormal="130" zoomScalePageLayoutView="140" workbookViewId="0">
      <selection sqref="A1:F1"/>
    </sheetView>
  </sheetViews>
  <sheetFormatPr baseColWidth="10" defaultColWidth="9.140625" defaultRowHeight="12.75" customHeight="1" x14ac:dyDescent="0.2"/>
  <cols>
    <col min="1" max="2" width="15.7109375" style="54" customWidth="1"/>
    <col min="3" max="6" width="13.7109375" style="54" customWidth="1"/>
    <col min="7" max="8" width="9.28515625" style="54" customWidth="1"/>
    <col min="9" max="16384" width="9.140625" style="68"/>
  </cols>
  <sheetData>
    <row r="1" spans="1:6" s="54" customFormat="1" ht="12.75" customHeight="1" x14ac:dyDescent="0.2">
      <c r="A1" s="128" t="s">
        <v>0</v>
      </c>
      <c r="B1" s="128"/>
      <c r="C1" s="128"/>
      <c r="D1" s="128"/>
      <c r="E1" s="128"/>
      <c r="F1" s="128"/>
    </row>
    <row r="2" spans="1:6" s="54" customFormat="1" ht="12.75" customHeight="1" thickBot="1" x14ac:dyDescent="0.25">
      <c r="A2" s="129"/>
      <c r="B2" s="129"/>
      <c r="C2" s="129"/>
      <c r="D2" s="129"/>
      <c r="E2" s="129"/>
      <c r="F2" s="129"/>
    </row>
    <row r="3" spans="1:6" s="54" customFormat="1" ht="12.75" customHeight="1" thickBot="1" x14ac:dyDescent="0.25">
      <c r="A3" s="118" t="s">
        <v>1</v>
      </c>
      <c r="B3" s="119"/>
      <c r="C3" s="119"/>
      <c r="D3" s="119"/>
      <c r="E3" s="119"/>
      <c r="F3" s="120"/>
    </row>
    <row r="4" spans="1:6" s="54" customFormat="1" ht="12.75" customHeight="1" x14ac:dyDescent="0.2">
      <c r="A4" s="123" t="s">
        <v>32</v>
      </c>
      <c r="B4" s="123"/>
      <c r="C4" s="123"/>
      <c r="D4" s="55" t="s">
        <v>33</v>
      </c>
      <c r="E4" s="123" t="s">
        <v>34</v>
      </c>
      <c r="F4" s="123"/>
    </row>
    <row r="5" spans="1:6" s="54" customFormat="1" ht="12.75" customHeight="1" x14ac:dyDescent="0.2">
      <c r="A5" s="104" t="s">
        <v>22</v>
      </c>
      <c r="B5" s="104"/>
      <c r="C5" s="104"/>
      <c r="D5" s="56" t="s">
        <v>17</v>
      </c>
      <c r="E5" s="133">
        <v>7400</v>
      </c>
      <c r="F5" s="133"/>
    </row>
    <row r="6" spans="1:6" s="54" customFormat="1" ht="12.75" customHeight="1" x14ac:dyDescent="0.2">
      <c r="A6" s="104" t="s">
        <v>24</v>
      </c>
      <c r="B6" s="104"/>
      <c r="C6" s="104"/>
      <c r="D6" s="56" t="s">
        <v>18</v>
      </c>
      <c r="E6" s="134">
        <f>E8/E7</f>
        <v>0.21489971346704873</v>
      </c>
      <c r="F6" s="134"/>
    </row>
    <row r="7" spans="1:6" s="54" customFormat="1" ht="12.75" customHeight="1" x14ac:dyDescent="0.2">
      <c r="A7" s="104" t="s">
        <v>23</v>
      </c>
      <c r="B7" s="104"/>
      <c r="C7" s="104"/>
      <c r="D7" s="56" t="s">
        <v>19</v>
      </c>
      <c r="E7" s="135">
        <v>17.45</v>
      </c>
      <c r="F7" s="135"/>
    </row>
    <row r="8" spans="1:6" s="54" customFormat="1" ht="12.75" customHeight="1" x14ac:dyDescent="0.2">
      <c r="A8" s="104" t="s">
        <v>25</v>
      </c>
      <c r="B8" s="104"/>
      <c r="C8" s="104"/>
      <c r="D8" s="56" t="s">
        <v>20</v>
      </c>
      <c r="E8" s="138">
        <v>3.75</v>
      </c>
      <c r="F8" s="138"/>
    </row>
    <row r="9" spans="1:6" s="54" customFormat="1" ht="12.75" customHeight="1" x14ac:dyDescent="0.2">
      <c r="A9" s="104" t="s">
        <v>26</v>
      </c>
      <c r="B9" s="104"/>
      <c r="C9" s="104"/>
      <c r="D9" s="56" t="s">
        <v>21</v>
      </c>
      <c r="E9" s="130">
        <f>E5*E8</f>
        <v>27750</v>
      </c>
      <c r="F9" s="130"/>
    </row>
    <row r="10" spans="1:6" s="54" customFormat="1" ht="12.75" customHeight="1" x14ac:dyDescent="0.2">
      <c r="A10" s="104" t="s">
        <v>31</v>
      </c>
      <c r="B10" s="104"/>
      <c r="C10" s="104"/>
      <c r="D10" s="56" t="s">
        <v>30</v>
      </c>
      <c r="E10" s="132">
        <v>6.5000000000000002E-2</v>
      </c>
      <c r="F10" s="132"/>
    </row>
    <row r="11" spans="1:6" s="54" customFormat="1" ht="12.75" customHeight="1" x14ac:dyDescent="0.2">
      <c r="A11" s="104" t="s">
        <v>31</v>
      </c>
      <c r="B11" s="104"/>
      <c r="C11" s="104"/>
      <c r="D11" s="56" t="s">
        <v>21</v>
      </c>
      <c r="E11" s="130">
        <f>E9*E10</f>
        <v>1803.75</v>
      </c>
      <c r="F11" s="130"/>
    </row>
    <row r="12" spans="1:6" s="54" customFormat="1" ht="12.75" customHeight="1" x14ac:dyDescent="0.2">
      <c r="A12" s="104" t="s">
        <v>105</v>
      </c>
      <c r="B12" s="104"/>
      <c r="C12" s="104"/>
      <c r="D12" s="56" t="s">
        <v>29</v>
      </c>
      <c r="E12" s="131">
        <v>151</v>
      </c>
      <c r="F12" s="131"/>
    </row>
    <row r="13" spans="1:6" s="54" customFormat="1" ht="12.75" customHeight="1" x14ac:dyDescent="0.2">
      <c r="A13" s="104" t="s">
        <v>106</v>
      </c>
      <c r="B13" s="104"/>
      <c r="C13" s="104"/>
      <c r="D13" s="56" t="s">
        <v>21</v>
      </c>
      <c r="E13" s="130">
        <f>E5/1000*E12</f>
        <v>1117.4000000000001</v>
      </c>
      <c r="F13" s="130"/>
    </row>
    <row r="14" spans="1:6" s="58" customFormat="1" ht="12.75" customHeight="1" x14ac:dyDescent="0.2">
      <c r="A14" s="137" t="s">
        <v>27</v>
      </c>
      <c r="B14" s="137"/>
      <c r="C14" s="137"/>
      <c r="D14" s="57" t="s">
        <v>21</v>
      </c>
      <c r="E14" s="136">
        <f>E9-E11-E13</f>
        <v>24828.85</v>
      </c>
      <c r="F14" s="136"/>
    </row>
    <row r="15" spans="1:6" s="54" customFormat="1" ht="12.75" customHeight="1" x14ac:dyDescent="0.2">
      <c r="A15" s="126" t="s">
        <v>28</v>
      </c>
      <c r="B15" s="126"/>
      <c r="C15" s="126"/>
      <c r="D15" s="56" t="s">
        <v>20</v>
      </c>
      <c r="E15" s="125">
        <f>E14/E5</f>
        <v>3.3552499999999998</v>
      </c>
      <c r="F15" s="125"/>
    </row>
    <row r="16" spans="1:6" s="54" customFormat="1" ht="12.75" customHeight="1" thickBot="1" x14ac:dyDescent="0.25">
      <c r="A16" s="111"/>
      <c r="B16" s="111"/>
      <c r="C16" s="111"/>
    </row>
    <row r="17" spans="1:6" s="54" customFormat="1" ht="12.75" customHeight="1" thickBot="1" x14ac:dyDescent="0.25">
      <c r="A17" s="118" t="s">
        <v>2</v>
      </c>
      <c r="B17" s="119"/>
      <c r="C17" s="119"/>
      <c r="D17" s="119"/>
      <c r="E17" s="119"/>
      <c r="F17" s="120"/>
    </row>
    <row r="18" spans="1:6" s="54" customFormat="1" ht="12.75" customHeight="1" x14ac:dyDescent="0.2">
      <c r="A18" s="55" t="s">
        <v>32</v>
      </c>
      <c r="B18" s="55" t="s">
        <v>33</v>
      </c>
      <c r="C18" s="55" t="s">
        <v>65</v>
      </c>
      <c r="D18" s="112" t="s">
        <v>104</v>
      </c>
      <c r="E18" s="112"/>
      <c r="F18" s="112"/>
    </row>
    <row r="19" spans="1:6" s="54" customFormat="1" ht="12.75" customHeight="1" x14ac:dyDescent="0.2">
      <c r="A19" s="59" t="s">
        <v>44</v>
      </c>
      <c r="B19" s="56" t="s">
        <v>21</v>
      </c>
      <c r="C19" s="37">
        <v>600</v>
      </c>
      <c r="D19" s="113"/>
      <c r="E19" s="113"/>
      <c r="F19" s="113"/>
    </row>
    <row r="20" spans="1:6" s="54" customFormat="1" ht="12.75" customHeight="1" x14ac:dyDescent="0.2">
      <c r="A20" s="60" t="s">
        <v>35</v>
      </c>
      <c r="B20" s="60"/>
      <c r="C20" s="61" t="s">
        <v>39</v>
      </c>
      <c r="D20" s="60" t="s">
        <v>102</v>
      </c>
      <c r="E20" s="61" t="s">
        <v>103</v>
      </c>
      <c r="F20" s="60" t="s">
        <v>36</v>
      </c>
    </row>
    <row r="21" spans="1:6" s="54" customFormat="1" ht="12.75" customHeight="1" x14ac:dyDescent="0.2">
      <c r="A21" s="62" t="s">
        <v>40</v>
      </c>
      <c r="B21" s="62"/>
      <c r="C21" s="39">
        <v>1</v>
      </c>
      <c r="D21" s="40">
        <v>1.5</v>
      </c>
      <c r="E21" s="41">
        <v>0</v>
      </c>
      <c r="F21" s="63">
        <f t="shared" ref="F21:F33" si="0">C21*D21*$C$19 +C21*E21</f>
        <v>900</v>
      </c>
    </row>
    <row r="22" spans="1:6" s="54" customFormat="1" ht="12.75" customHeight="1" x14ac:dyDescent="0.2">
      <c r="A22" s="62" t="s">
        <v>41</v>
      </c>
      <c r="B22" s="62"/>
      <c r="C22" s="39">
        <v>1</v>
      </c>
      <c r="D22" s="40">
        <v>1</v>
      </c>
      <c r="E22" s="41">
        <v>0</v>
      </c>
      <c r="F22" s="63">
        <f t="shared" si="0"/>
        <v>600</v>
      </c>
    </row>
    <row r="23" spans="1:6" s="54" customFormat="1" ht="12.75" customHeight="1" x14ac:dyDescent="0.2">
      <c r="A23" s="62" t="s">
        <v>107</v>
      </c>
      <c r="B23" s="62"/>
      <c r="C23" s="39">
        <v>1</v>
      </c>
      <c r="D23" s="40">
        <v>0.5</v>
      </c>
      <c r="E23" s="41">
        <v>0</v>
      </c>
      <c r="F23" s="63">
        <f t="shared" si="0"/>
        <v>300</v>
      </c>
    </row>
    <row r="24" spans="1:6" s="54" customFormat="1" ht="12.75" customHeight="1" x14ac:dyDescent="0.2">
      <c r="A24" s="62" t="s">
        <v>108</v>
      </c>
      <c r="B24" s="62"/>
      <c r="C24" s="39">
        <v>1</v>
      </c>
      <c r="D24" s="40">
        <v>0.5</v>
      </c>
      <c r="E24" s="41">
        <v>0</v>
      </c>
      <c r="F24" s="63">
        <f t="shared" si="0"/>
        <v>300</v>
      </c>
    </row>
    <row r="25" spans="1:6" s="54" customFormat="1" ht="12.75" customHeight="1" x14ac:dyDescent="0.2">
      <c r="A25" s="62" t="s">
        <v>37</v>
      </c>
      <c r="B25" s="62"/>
      <c r="C25" s="39">
        <v>1</v>
      </c>
      <c r="D25" s="40">
        <v>1</v>
      </c>
      <c r="E25" s="41">
        <v>0</v>
      </c>
      <c r="F25" s="63">
        <f t="shared" si="0"/>
        <v>600</v>
      </c>
    </row>
    <row r="26" spans="1:6" s="54" customFormat="1" ht="12.75" customHeight="1" x14ac:dyDescent="0.2">
      <c r="A26" s="62" t="s">
        <v>38</v>
      </c>
      <c r="B26" s="62"/>
      <c r="C26" s="39">
        <v>1</v>
      </c>
      <c r="D26" s="40">
        <v>0.5</v>
      </c>
      <c r="E26" s="41">
        <v>0</v>
      </c>
      <c r="F26" s="63">
        <f t="shared" si="0"/>
        <v>300</v>
      </c>
    </row>
    <row r="27" spans="1:6" s="54" customFormat="1" ht="12.75" customHeight="1" x14ac:dyDescent="0.2">
      <c r="A27" s="62" t="s">
        <v>43</v>
      </c>
      <c r="B27" s="62"/>
      <c r="C27" s="39">
        <v>2</v>
      </c>
      <c r="D27" s="40">
        <v>0.25</v>
      </c>
      <c r="E27" s="41">
        <v>0</v>
      </c>
      <c r="F27" s="63">
        <f t="shared" si="0"/>
        <v>300</v>
      </c>
    </row>
    <row r="28" spans="1:6" s="54" customFormat="1" ht="12.75" customHeight="1" x14ac:dyDescent="0.2">
      <c r="A28" s="62" t="s">
        <v>42</v>
      </c>
      <c r="B28" s="62"/>
      <c r="C28" s="39">
        <v>1</v>
      </c>
      <c r="D28" s="40">
        <f>[1]Cantidad!S21</f>
        <v>0.5</v>
      </c>
      <c r="E28" s="41">
        <v>0</v>
      </c>
      <c r="F28" s="63">
        <f t="shared" si="0"/>
        <v>300</v>
      </c>
    </row>
    <row r="29" spans="1:6" s="54" customFormat="1" ht="12.75" customHeight="1" x14ac:dyDescent="0.2">
      <c r="A29" s="104" t="s">
        <v>59</v>
      </c>
      <c r="B29" s="104"/>
      <c r="C29" s="39">
        <v>1</v>
      </c>
      <c r="D29" s="42"/>
      <c r="E29" s="43">
        <v>144</v>
      </c>
      <c r="F29" s="63">
        <f t="shared" si="0"/>
        <v>144</v>
      </c>
    </row>
    <row r="30" spans="1:6" s="54" customFormat="1" ht="12.75" customHeight="1" x14ac:dyDescent="0.2">
      <c r="A30" s="104" t="s">
        <v>87</v>
      </c>
      <c r="B30" s="104"/>
      <c r="C30" s="39">
        <v>1</v>
      </c>
      <c r="D30" s="42"/>
      <c r="E30" s="43">
        <v>144</v>
      </c>
      <c r="F30" s="63">
        <f>C30*D30*$C$19 +C30*E30</f>
        <v>144</v>
      </c>
    </row>
    <row r="31" spans="1:6" s="54" customFormat="1" ht="12.75" customHeight="1" x14ac:dyDescent="0.2">
      <c r="A31" s="105"/>
      <c r="B31" s="105"/>
      <c r="C31" s="40"/>
      <c r="D31" s="39"/>
      <c r="E31" s="41">
        <v>0</v>
      </c>
      <c r="F31" s="63">
        <f>C31*D31*$C$19 +C31*E31</f>
        <v>0</v>
      </c>
    </row>
    <row r="32" spans="1:6" s="54" customFormat="1" ht="12.75" customHeight="1" x14ac:dyDescent="0.2">
      <c r="A32" s="105"/>
      <c r="B32" s="105"/>
      <c r="C32" s="40"/>
      <c r="D32" s="39"/>
      <c r="E32" s="41">
        <v>0</v>
      </c>
      <c r="F32" s="63">
        <f t="shared" si="0"/>
        <v>0</v>
      </c>
    </row>
    <row r="33" spans="1:6" s="54" customFormat="1" ht="12.75" customHeight="1" x14ac:dyDescent="0.2">
      <c r="A33" s="105"/>
      <c r="B33" s="105"/>
      <c r="C33" s="40"/>
      <c r="D33" s="39"/>
      <c r="E33" s="41">
        <v>0</v>
      </c>
      <c r="F33" s="63">
        <f t="shared" si="0"/>
        <v>0</v>
      </c>
    </row>
    <row r="34" spans="1:6" s="58" customFormat="1" ht="12.75" customHeight="1" x14ac:dyDescent="0.2">
      <c r="A34" s="64" t="s">
        <v>72</v>
      </c>
      <c r="B34" s="64"/>
      <c r="C34" s="65"/>
      <c r="D34" s="64"/>
      <c r="E34" s="65"/>
      <c r="F34" s="66">
        <f>SUM(F21:F33)</f>
        <v>3888</v>
      </c>
    </row>
    <row r="35" spans="1:6" ht="12.75" customHeight="1" x14ac:dyDescent="0.2">
      <c r="A35" s="67"/>
      <c r="B35" s="67"/>
      <c r="C35" s="67"/>
      <c r="D35" s="67"/>
      <c r="E35" s="67"/>
      <c r="F35" s="67"/>
    </row>
    <row r="36" spans="1:6" s="54" customFormat="1" ht="12.75" customHeight="1" x14ac:dyDescent="0.2">
      <c r="A36" s="109" t="s">
        <v>3</v>
      </c>
      <c r="B36" s="109"/>
      <c r="C36" s="61" t="s">
        <v>33</v>
      </c>
      <c r="D36" s="60" t="s">
        <v>83</v>
      </c>
      <c r="E36" s="60" t="s">
        <v>66</v>
      </c>
      <c r="F36" s="60" t="s">
        <v>36</v>
      </c>
    </row>
    <row r="37" spans="1:6" s="54" customFormat="1" ht="12.75" customHeight="1" x14ac:dyDescent="0.2">
      <c r="A37" s="62" t="s">
        <v>45</v>
      </c>
      <c r="B37" s="62"/>
      <c r="C37" s="56" t="s">
        <v>84</v>
      </c>
      <c r="D37" s="42">
        <v>130</v>
      </c>
      <c r="E37" s="44">
        <v>5.25</v>
      </c>
      <c r="F37" s="69">
        <f>D37*E37</f>
        <v>682.5</v>
      </c>
    </row>
    <row r="38" spans="1:6" s="54" customFormat="1" ht="12.75" customHeight="1" x14ac:dyDescent="0.2">
      <c r="A38" s="109" t="s">
        <v>109</v>
      </c>
      <c r="B38" s="109"/>
      <c r="C38" s="56"/>
      <c r="D38" s="60" t="s">
        <v>46</v>
      </c>
      <c r="E38" s="60" t="s">
        <v>66</v>
      </c>
      <c r="F38" s="60" t="s">
        <v>36</v>
      </c>
    </row>
    <row r="39" spans="1:6" s="54" customFormat="1" ht="12.75" customHeight="1" x14ac:dyDescent="0.2">
      <c r="A39" s="104" t="s">
        <v>110</v>
      </c>
      <c r="B39" s="104"/>
      <c r="C39" s="56" t="s">
        <v>85</v>
      </c>
      <c r="D39" s="42">
        <f>0.25*130/100</f>
        <v>0.32500000000000001</v>
      </c>
      <c r="E39" s="43">
        <f>9*E7</f>
        <v>157.04999999999998</v>
      </c>
      <c r="F39" s="69">
        <f t="shared" ref="F39:F40" si="1">D39*E39</f>
        <v>51.041249999999998</v>
      </c>
    </row>
    <row r="40" spans="1:6" s="54" customFormat="1" ht="12.75" customHeight="1" x14ac:dyDescent="0.2">
      <c r="A40" s="104" t="s">
        <v>111</v>
      </c>
      <c r="B40" s="104"/>
      <c r="C40" s="56" t="s">
        <v>85</v>
      </c>
      <c r="D40" s="42">
        <f>0.3*130/100</f>
        <v>0.39</v>
      </c>
      <c r="E40" s="43">
        <f>15*E7</f>
        <v>261.75</v>
      </c>
      <c r="F40" s="69">
        <f t="shared" si="1"/>
        <v>102.08250000000001</v>
      </c>
    </row>
    <row r="41" spans="1:6" s="54" customFormat="1" ht="12.75" customHeight="1" x14ac:dyDescent="0.2">
      <c r="A41" s="105"/>
      <c r="B41" s="105"/>
      <c r="C41" s="45"/>
      <c r="D41" s="46"/>
      <c r="E41" s="47"/>
      <c r="F41" s="69">
        <f t="shared" ref="F41:F42" si="2">D41*E41</f>
        <v>0</v>
      </c>
    </row>
    <row r="42" spans="1:6" s="54" customFormat="1" ht="12.75" customHeight="1" x14ac:dyDescent="0.2">
      <c r="A42" s="105"/>
      <c r="B42" s="105"/>
      <c r="C42" s="45"/>
      <c r="D42" s="46"/>
      <c r="E42" s="47"/>
      <c r="F42" s="69">
        <f t="shared" si="2"/>
        <v>0</v>
      </c>
    </row>
    <row r="43" spans="1:6" s="58" customFormat="1" ht="12.75" customHeight="1" x14ac:dyDescent="0.2">
      <c r="A43" s="64" t="s">
        <v>112</v>
      </c>
      <c r="B43" s="64"/>
      <c r="C43" s="57"/>
      <c r="D43" s="70"/>
      <c r="E43" s="71"/>
      <c r="F43" s="72">
        <f>SUM(F39:F42)</f>
        <v>153.12375</v>
      </c>
    </row>
    <row r="44" spans="1:6" s="54" customFormat="1" ht="12.75" customHeight="1" x14ac:dyDescent="0.2">
      <c r="A44" s="109" t="s">
        <v>74</v>
      </c>
      <c r="B44" s="109"/>
      <c r="C44" s="56"/>
      <c r="D44" s="60" t="s">
        <v>46</v>
      </c>
      <c r="E44" s="60" t="s">
        <v>66</v>
      </c>
      <c r="F44" s="60" t="s">
        <v>36</v>
      </c>
    </row>
    <row r="45" spans="1:6" s="54" customFormat="1" ht="12.75" customHeight="1" x14ac:dyDescent="0.2">
      <c r="A45" s="127" t="s">
        <v>90</v>
      </c>
      <c r="B45" s="127"/>
      <c r="C45" s="56" t="s">
        <v>85</v>
      </c>
      <c r="D45" s="42"/>
      <c r="E45" s="43">
        <v>3773</v>
      </c>
      <c r="F45" s="69">
        <f t="shared" ref="F45:F51" si="3">D45*E45</f>
        <v>0</v>
      </c>
    </row>
    <row r="46" spans="1:6" s="54" customFormat="1" ht="12.75" customHeight="1" x14ac:dyDescent="0.2">
      <c r="A46" s="104" t="s">
        <v>91</v>
      </c>
      <c r="B46" s="104"/>
      <c r="C46" s="56" t="s">
        <v>85</v>
      </c>
      <c r="D46" s="46"/>
      <c r="E46" s="43">
        <v>821</v>
      </c>
      <c r="F46" s="69">
        <f t="shared" si="3"/>
        <v>0</v>
      </c>
    </row>
    <row r="47" spans="1:6" s="54" customFormat="1" ht="12.75" customHeight="1" x14ac:dyDescent="0.2">
      <c r="A47" s="104" t="s">
        <v>92</v>
      </c>
      <c r="B47" s="104"/>
      <c r="C47" s="56" t="s">
        <v>85</v>
      </c>
      <c r="D47" s="46"/>
      <c r="E47" s="43">
        <v>403.2</v>
      </c>
      <c r="F47" s="69">
        <f t="shared" si="3"/>
        <v>0</v>
      </c>
    </row>
    <row r="48" spans="1:6" s="54" customFormat="1" ht="12.75" customHeight="1" x14ac:dyDescent="0.2">
      <c r="A48" s="104" t="s">
        <v>93</v>
      </c>
      <c r="B48" s="104"/>
      <c r="C48" s="56" t="s">
        <v>85</v>
      </c>
      <c r="D48" s="46">
        <f>[1]Cantidad!S9</f>
        <v>4</v>
      </c>
      <c r="E48" s="43">
        <f>4*E7</f>
        <v>69.8</v>
      </c>
      <c r="F48" s="69">
        <f t="shared" si="3"/>
        <v>279.2</v>
      </c>
    </row>
    <row r="49" spans="1:6" s="54" customFormat="1" ht="12.75" customHeight="1" x14ac:dyDescent="0.2">
      <c r="A49" s="104" t="s">
        <v>94</v>
      </c>
      <c r="B49" s="104"/>
      <c r="C49" s="56" t="s">
        <v>84</v>
      </c>
      <c r="D49" s="46">
        <v>0.28000000000000003</v>
      </c>
      <c r="E49" s="43">
        <f>496*E7/2.8</f>
        <v>3091.1428571428569</v>
      </c>
      <c r="F49" s="69">
        <f t="shared" si="3"/>
        <v>865.52</v>
      </c>
    </row>
    <row r="50" spans="1:6" s="54" customFormat="1" ht="12.75" customHeight="1" x14ac:dyDescent="0.2">
      <c r="A50" s="104" t="s">
        <v>95</v>
      </c>
      <c r="B50" s="104"/>
      <c r="C50" s="56" t="s">
        <v>85</v>
      </c>
      <c r="D50" s="46"/>
      <c r="E50" s="43">
        <f>13*E7</f>
        <v>226.85</v>
      </c>
      <c r="F50" s="69">
        <f t="shared" si="3"/>
        <v>0</v>
      </c>
    </row>
    <row r="51" spans="1:6" s="54" customFormat="1" ht="12.75" customHeight="1" x14ac:dyDescent="0.2">
      <c r="A51" s="104" t="s">
        <v>96</v>
      </c>
      <c r="B51" s="104"/>
      <c r="C51" s="56" t="s">
        <v>85</v>
      </c>
      <c r="D51" s="46"/>
      <c r="E51" s="47"/>
      <c r="F51" s="69">
        <f t="shared" si="3"/>
        <v>0</v>
      </c>
    </row>
    <row r="52" spans="1:6" s="54" customFormat="1" ht="12.75" customHeight="1" x14ac:dyDescent="0.2">
      <c r="A52" s="104" t="s">
        <v>97</v>
      </c>
      <c r="B52" s="104"/>
      <c r="C52" s="56" t="s">
        <v>85</v>
      </c>
      <c r="D52" s="46"/>
      <c r="E52" s="47"/>
      <c r="F52" s="69">
        <f t="shared" ref="F52:F56" si="4">D52*E52</f>
        <v>0</v>
      </c>
    </row>
    <row r="53" spans="1:6" s="54" customFormat="1" ht="12.75" customHeight="1" x14ac:dyDescent="0.2">
      <c r="A53" s="104" t="s">
        <v>98</v>
      </c>
      <c r="B53" s="104"/>
      <c r="C53" s="56" t="s">
        <v>85</v>
      </c>
      <c r="D53" s="46"/>
      <c r="E53" s="47"/>
      <c r="F53" s="69">
        <f t="shared" si="4"/>
        <v>0</v>
      </c>
    </row>
    <row r="54" spans="1:6" s="54" customFormat="1" ht="12.75" customHeight="1" x14ac:dyDescent="0.2">
      <c r="A54" s="105"/>
      <c r="B54" s="105"/>
      <c r="C54" s="45"/>
      <c r="D54" s="46"/>
      <c r="E54" s="47"/>
      <c r="F54" s="69">
        <f t="shared" si="4"/>
        <v>0</v>
      </c>
    </row>
    <row r="55" spans="1:6" s="54" customFormat="1" ht="12.75" customHeight="1" x14ac:dyDescent="0.2">
      <c r="A55" s="105"/>
      <c r="B55" s="105"/>
      <c r="C55" s="45"/>
      <c r="D55" s="46"/>
      <c r="E55" s="47"/>
      <c r="F55" s="69">
        <f t="shared" si="4"/>
        <v>0</v>
      </c>
    </row>
    <row r="56" spans="1:6" s="54" customFormat="1" ht="12.75" customHeight="1" x14ac:dyDescent="0.2">
      <c r="A56" s="105"/>
      <c r="B56" s="105"/>
      <c r="C56" s="45"/>
      <c r="D56" s="46"/>
      <c r="E56" s="47"/>
      <c r="F56" s="69">
        <f t="shared" si="4"/>
        <v>0</v>
      </c>
    </row>
    <row r="57" spans="1:6" s="58" customFormat="1" ht="12.75" customHeight="1" x14ac:dyDescent="0.2">
      <c r="A57" s="64" t="s">
        <v>73</v>
      </c>
      <c r="B57" s="64"/>
      <c r="C57" s="65"/>
      <c r="D57" s="70"/>
      <c r="E57" s="71"/>
      <c r="F57" s="72">
        <f>SUM(F45:F56)</f>
        <v>1144.72</v>
      </c>
    </row>
    <row r="58" spans="1:6" s="54" customFormat="1" ht="12.75" customHeight="1" x14ac:dyDescent="0.2">
      <c r="A58" s="109" t="s">
        <v>75</v>
      </c>
      <c r="B58" s="109"/>
      <c r="C58" s="61" t="s">
        <v>33</v>
      </c>
      <c r="D58" s="60" t="s">
        <v>46</v>
      </c>
      <c r="E58" s="60" t="s">
        <v>66</v>
      </c>
      <c r="F58" s="60" t="s">
        <v>36</v>
      </c>
    </row>
    <row r="59" spans="1:6" s="54" customFormat="1" ht="12.75" customHeight="1" x14ac:dyDescent="0.2">
      <c r="A59" s="62" t="s">
        <v>47</v>
      </c>
      <c r="B59" s="62"/>
      <c r="C59" s="56" t="s">
        <v>85</v>
      </c>
      <c r="D59" s="42">
        <v>4</v>
      </c>
      <c r="E59" s="43">
        <v>86.4</v>
      </c>
      <c r="F59" s="69">
        <f t="shared" ref="F59:F66" si="5">D59*E59</f>
        <v>345.6</v>
      </c>
    </row>
    <row r="60" spans="1:6" s="54" customFormat="1" ht="12.75" customHeight="1" x14ac:dyDescent="0.2">
      <c r="A60" s="62" t="s">
        <v>48</v>
      </c>
      <c r="B60" s="62"/>
      <c r="C60" s="56" t="s">
        <v>84</v>
      </c>
      <c r="D60" s="42">
        <v>120</v>
      </c>
      <c r="E60" s="43">
        <f>403*E7/1000</f>
        <v>7.0323499999999992</v>
      </c>
      <c r="F60" s="69">
        <f t="shared" si="5"/>
        <v>843.88199999999995</v>
      </c>
    </row>
    <row r="61" spans="1:6" s="54" customFormat="1" ht="12.75" customHeight="1" x14ac:dyDescent="0.2">
      <c r="A61" s="62" t="s">
        <v>49</v>
      </c>
      <c r="B61" s="62"/>
      <c r="C61" s="56" t="s">
        <v>84</v>
      </c>
      <c r="D61" s="42"/>
      <c r="E61" s="43">
        <v>7.2</v>
      </c>
      <c r="F61" s="69">
        <f t="shared" si="5"/>
        <v>0</v>
      </c>
    </row>
    <row r="62" spans="1:6" s="54" customFormat="1" ht="12.75" customHeight="1" x14ac:dyDescent="0.2">
      <c r="A62" s="62" t="s">
        <v>50</v>
      </c>
      <c r="B62" s="62"/>
      <c r="C62" s="56" t="s">
        <v>84</v>
      </c>
      <c r="D62" s="42"/>
      <c r="E62" s="43">
        <v>6.8</v>
      </c>
      <c r="F62" s="69">
        <f t="shared" si="5"/>
        <v>0</v>
      </c>
    </row>
    <row r="63" spans="1:6" s="54" customFormat="1" ht="12.75" customHeight="1" x14ac:dyDescent="0.2">
      <c r="A63" s="62" t="s">
        <v>51</v>
      </c>
      <c r="B63" s="62"/>
      <c r="C63" s="56" t="s">
        <v>84</v>
      </c>
      <c r="D63" s="42"/>
      <c r="E63" s="43">
        <v>7.2</v>
      </c>
      <c r="F63" s="69">
        <f t="shared" si="5"/>
        <v>0</v>
      </c>
    </row>
    <row r="64" spans="1:6" s="54" customFormat="1" ht="12.75" customHeight="1" x14ac:dyDescent="0.2">
      <c r="A64" s="62" t="s">
        <v>52</v>
      </c>
      <c r="B64" s="62"/>
      <c r="C64" s="56" t="s">
        <v>84</v>
      </c>
      <c r="D64" s="42"/>
      <c r="E64" s="43">
        <f>0.42*14.4</f>
        <v>6.048</v>
      </c>
      <c r="F64" s="69">
        <f t="shared" si="5"/>
        <v>0</v>
      </c>
    </row>
    <row r="65" spans="1:6" s="54" customFormat="1" ht="12.75" customHeight="1" x14ac:dyDescent="0.2">
      <c r="A65" s="62" t="s">
        <v>53</v>
      </c>
      <c r="B65" s="62"/>
      <c r="C65" s="56" t="s">
        <v>84</v>
      </c>
      <c r="D65" s="42">
        <v>100</v>
      </c>
      <c r="E65" s="43">
        <f>553*E7/1000</f>
        <v>9.6498500000000007</v>
      </c>
      <c r="F65" s="69">
        <f t="shared" si="5"/>
        <v>964.98500000000013</v>
      </c>
    </row>
    <row r="66" spans="1:6" s="54" customFormat="1" ht="12.75" customHeight="1" x14ac:dyDescent="0.2">
      <c r="A66" s="62" t="s">
        <v>54</v>
      </c>
      <c r="B66" s="62"/>
      <c r="C66" s="56" t="s">
        <v>84</v>
      </c>
      <c r="D66" s="42"/>
      <c r="E66" s="43">
        <v>8.1999999999999993</v>
      </c>
      <c r="F66" s="69">
        <f t="shared" si="5"/>
        <v>0</v>
      </c>
    </row>
    <row r="67" spans="1:6" s="54" customFormat="1" ht="12.75" customHeight="1" x14ac:dyDescent="0.2">
      <c r="A67" s="105"/>
      <c r="B67" s="105"/>
      <c r="C67" s="45"/>
      <c r="D67" s="42"/>
      <c r="E67" s="47"/>
      <c r="F67" s="69">
        <f t="shared" ref="F67:F69" si="6">D67*E67</f>
        <v>0</v>
      </c>
    </row>
    <row r="68" spans="1:6" s="54" customFormat="1" ht="12.75" customHeight="1" x14ac:dyDescent="0.2">
      <c r="A68" s="105"/>
      <c r="B68" s="105"/>
      <c r="C68" s="45"/>
      <c r="D68" s="42"/>
      <c r="E68" s="47"/>
      <c r="F68" s="69">
        <f t="shared" si="6"/>
        <v>0</v>
      </c>
    </row>
    <row r="69" spans="1:6" s="54" customFormat="1" ht="12.75" customHeight="1" x14ac:dyDescent="0.2">
      <c r="A69" s="105"/>
      <c r="B69" s="105"/>
      <c r="C69" s="45"/>
      <c r="D69" s="42"/>
      <c r="E69" s="47"/>
      <c r="F69" s="69">
        <f t="shared" si="6"/>
        <v>0</v>
      </c>
    </row>
    <row r="70" spans="1:6" s="58" customFormat="1" ht="12.75" customHeight="1" x14ac:dyDescent="0.2">
      <c r="A70" s="64" t="s">
        <v>76</v>
      </c>
      <c r="B70" s="64"/>
      <c r="C70" s="65"/>
      <c r="D70" s="70"/>
      <c r="E70" s="71"/>
      <c r="F70" s="72">
        <f>SUM(F58:F69)</f>
        <v>2154.4670000000001</v>
      </c>
    </row>
    <row r="71" spans="1:6" s="54" customFormat="1" ht="12.75" customHeight="1" x14ac:dyDescent="0.2">
      <c r="A71" s="109" t="s">
        <v>82</v>
      </c>
      <c r="B71" s="109"/>
      <c r="C71" s="61" t="s">
        <v>33</v>
      </c>
      <c r="D71" s="60" t="s">
        <v>46</v>
      </c>
      <c r="E71" s="60" t="s">
        <v>66</v>
      </c>
      <c r="F71" s="60" t="s">
        <v>36</v>
      </c>
    </row>
    <row r="72" spans="1:6" s="54" customFormat="1" ht="12.75" customHeight="1" x14ac:dyDescent="0.2">
      <c r="A72" s="62" t="s">
        <v>99</v>
      </c>
      <c r="B72" s="62"/>
      <c r="C72" s="56" t="s">
        <v>85</v>
      </c>
      <c r="D72" s="42">
        <v>0.5</v>
      </c>
      <c r="E72" s="43">
        <f>41*E7</f>
        <v>715.44999999999993</v>
      </c>
      <c r="F72" s="69">
        <f t="shared" ref="F72:F76" si="7">D72*E72</f>
        <v>357.72499999999997</v>
      </c>
    </row>
    <row r="73" spans="1:6" s="54" customFormat="1" ht="12.75" customHeight="1" x14ac:dyDescent="0.2">
      <c r="A73" s="73" t="s">
        <v>100</v>
      </c>
      <c r="B73" s="62"/>
      <c r="C73" s="56" t="s">
        <v>85</v>
      </c>
      <c r="D73" s="42"/>
      <c r="E73" s="43"/>
      <c r="F73" s="69">
        <f t="shared" si="7"/>
        <v>0</v>
      </c>
    </row>
    <row r="74" spans="1:6" s="54" customFormat="1" ht="12.75" customHeight="1" x14ac:dyDescent="0.2">
      <c r="A74" s="73" t="s">
        <v>101</v>
      </c>
      <c r="B74" s="62"/>
      <c r="C74" s="56" t="s">
        <v>85</v>
      </c>
      <c r="D74" s="42"/>
      <c r="E74" s="43"/>
      <c r="F74" s="69">
        <f t="shared" si="7"/>
        <v>0</v>
      </c>
    </row>
    <row r="75" spans="1:6" s="54" customFormat="1" ht="12.75" customHeight="1" x14ac:dyDescent="0.2">
      <c r="A75" s="105"/>
      <c r="B75" s="105"/>
      <c r="C75" s="45"/>
      <c r="D75" s="42"/>
      <c r="E75" s="47"/>
      <c r="F75" s="69">
        <f t="shared" si="7"/>
        <v>0</v>
      </c>
    </row>
    <row r="76" spans="1:6" s="54" customFormat="1" ht="12.75" customHeight="1" x14ac:dyDescent="0.2">
      <c r="A76" s="105"/>
      <c r="B76" s="105"/>
      <c r="C76" s="45"/>
      <c r="D76" s="42"/>
      <c r="E76" s="47"/>
      <c r="F76" s="69">
        <f t="shared" si="7"/>
        <v>0</v>
      </c>
    </row>
    <row r="77" spans="1:6" s="58" customFormat="1" ht="12.75" customHeight="1" x14ac:dyDescent="0.2">
      <c r="A77" s="64" t="s">
        <v>86</v>
      </c>
      <c r="B77" s="64"/>
      <c r="C77" s="65"/>
      <c r="D77" s="70"/>
      <c r="E77" s="71"/>
      <c r="F77" s="72">
        <f>SUM(F72:F76)</f>
        <v>357.72499999999997</v>
      </c>
    </row>
    <row r="78" spans="1:6" s="58" customFormat="1" ht="12.75" customHeight="1" x14ac:dyDescent="0.2">
      <c r="A78" s="109" t="s">
        <v>88</v>
      </c>
      <c r="B78" s="109"/>
      <c r="C78" s="61" t="s">
        <v>33</v>
      </c>
      <c r="D78" s="74" t="s">
        <v>89</v>
      </c>
      <c r="E78" s="60" t="s">
        <v>66</v>
      </c>
      <c r="F78" s="60" t="s">
        <v>36</v>
      </c>
    </row>
    <row r="79" spans="1:6" s="54" customFormat="1" ht="12.75" customHeight="1" x14ac:dyDescent="0.2">
      <c r="A79" s="104" t="s">
        <v>55</v>
      </c>
      <c r="B79" s="104"/>
      <c r="C79" s="56" t="s">
        <v>85</v>
      </c>
      <c r="D79" s="42">
        <v>400</v>
      </c>
      <c r="E79" s="43">
        <f>13.87*1.06</f>
        <v>14.702199999999999</v>
      </c>
      <c r="F79" s="69">
        <f>D79*E79</f>
        <v>5880.88</v>
      </c>
    </row>
    <row r="80" spans="1:6" s="54" customFormat="1" ht="12.75" customHeight="1" x14ac:dyDescent="0.2">
      <c r="A80" s="104" t="s">
        <v>57</v>
      </c>
      <c r="B80" s="104"/>
      <c r="C80" s="56" t="s">
        <v>85</v>
      </c>
      <c r="D80" s="42">
        <v>0</v>
      </c>
      <c r="E80" s="43">
        <v>13.87</v>
      </c>
      <c r="F80" s="69">
        <f>D80*E80</f>
        <v>0</v>
      </c>
    </row>
    <row r="81" spans="1:6" s="54" customFormat="1" ht="12.75" customHeight="1" x14ac:dyDescent="0.2">
      <c r="A81" s="104" t="s">
        <v>58</v>
      </c>
      <c r="B81" s="104"/>
      <c r="C81" s="56" t="s">
        <v>85</v>
      </c>
      <c r="D81" s="42">
        <v>5</v>
      </c>
      <c r="E81" s="43">
        <v>216</v>
      </c>
      <c r="F81" s="69">
        <f>D81*E81</f>
        <v>1080</v>
      </c>
    </row>
    <row r="82" spans="1:6" s="54" customFormat="1" ht="12.75" customHeight="1" x14ac:dyDescent="0.2">
      <c r="A82" s="104" t="s">
        <v>61</v>
      </c>
      <c r="B82" s="104"/>
      <c r="C82" s="56"/>
      <c r="D82" s="75"/>
      <c r="E82" s="43">
        <v>1886</v>
      </c>
      <c r="F82" s="69">
        <f>E82</f>
        <v>1886</v>
      </c>
    </row>
    <row r="83" spans="1:6" s="54" customFormat="1" ht="12.75" customHeight="1" x14ac:dyDescent="0.2">
      <c r="A83" s="104" t="s">
        <v>62</v>
      </c>
      <c r="B83" s="104"/>
      <c r="C83" s="56"/>
      <c r="D83" s="75"/>
      <c r="E83" s="43">
        <v>547</v>
      </c>
      <c r="F83" s="69">
        <v>346</v>
      </c>
    </row>
    <row r="84" spans="1:6" s="54" customFormat="1" ht="12.75" customHeight="1" x14ac:dyDescent="0.2">
      <c r="A84" s="104" t="s">
        <v>4</v>
      </c>
      <c r="B84" s="104"/>
      <c r="C84" s="56" t="s">
        <v>60</v>
      </c>
      <c r="D84" s="42">
        <v>1</v>
      </c>
      <c r="E84" s="43">
        <v>195</v>
      </c>
      <c r="F84" s="69">
        <f>D84*E84</f>
        <v>195</v>
      </c>
    </row>
    <row r="85" spans="1:6" s="54" customFormat="1" ht="12.75" customHeight="1" x14ac:dyDescent="0.2">
      <c r="A85" s="104" t="s">
        <v>5</v>
      </c>
      <c r="B85" s="104"/>
      <c r="C85" s="59" t="s">
        <v>64</v>
      </c>
      <c r="D85" s="67"/>
      <c r="E85" s="49">
        <v>2.4199999999999999E-2</v>
      </c>
      <c r="F85" s="69">
        <f>E85*E9</f>
        <v>671.55</v>
      </c>
    </row>
    <row r="86" spans="1:6" s="54" customFormat="1" ht="12.75" customHeight="1" x14ac:dyDescent="0.2">
      <c r="A86" s="105"/>
      <c r="B86" s="105"/>
      <c r="C86" s="45"/>
      <c r="D86" s="39"/>
      <c r="E86" s="50"/>
      <c r="F86" s="69">
        <f>E86*E10</f>
        <v>0</v>
      </c>
    </row>
    <row r="87" spans="1:6" s="54" customFormat="1" ht="12.75" customHeight="1" x14ac:dyDescent="0.2">
      <c r="A87" s="105"/>
      <c r="B87" s="105"/>
      <c r="C87" s="45"/>
      <c r="D87" s="39"/>
      <c r="E87" s="50"/>
      <c r="F87" s="69">
        <f>E87*E11</f>
        <v>0</v>
      </c>
    </row>
    <row r="88" spans="1:6" s="54" customFormat="1" ht="12.75" customHeight="1" x14ac:dyDescent="0.2">
      <c r="A88" s="105"/>
      <c r="B88" s="105"/>
      <c r="C88" s="45"/>
      <c r="D88" s="39"/>
      <c r="E88" s="50"/>
      <c r="F88" s="69">
        <f>E88*E12</f>
        <v>0</v>
      </c>
    </row>
    <row r="89" spans="1:6" s="78" customFormat="1" ht="12.75" customHeight="1" x14ac:dyDescent="0.2">
      <c r="A89" s="64" t="s">
        <v>6</v>
      </c>
      <c r="B89" s="64"/>
      <c r="C89" s="76"/>
      <c r="D89" s="76"/>
      <c r="E89" s="76"/>
      <c r="F89" s="77">
        <f>SUM(F34,F37,F43,F57,F70,F77,F79:F88)</f>
        <v>18439.965749999999</v>
      </c>
    </row>
    <row r="90" spans="1:6" s="54" customFormat="1" ht="12.75" customHeight="1" x14ac:dyDescent="0.2">
      <c r="A90" s="110"/>
      <c r="B90" s="110"/>
      <c r="C90" s="110"/>
      <c r="D90" s="110"/>
      <c r="E90" s="79"/>
    </row>
    <row r="91" spans="1:6" s="54" customFormat="1" ht="12.75" customHeight="1" x14ac:dyDescent="0.2">
      <c r="A91" s="64" t="s">
        <v>7</v>
      </c>
      <c r="B91" s="64"/>
      <c r="C91" s="103" t="s">
        <v>33</v>
      </c>
      <c r="D91" s="103"/>
      <c r="E91" s="60" t="s">
        <v>66</v>
      </c>
      <c r="F91" s="60" t="s">
        <v>36</v>
      </c>
    </row>
    <row r="92" spans="1:6" s="54" customFormat="1" ht="12.75" customHeight="1" x14ac:dyDescent="0.2">
      <c r="A92" s="62" t="s">
        <v>69</v>
      </c>
      <c r="B92" s="62"/>
      <c r="C92" s="106" t="s">
        <v>67</v>
      </c>
      <c r="D92" s="106"/>
      <c r="E92" s="51">
        <v>0.02</v>
      </c>
      <c r="F92" s="80">
        <f>E92*E9</f>
        <v>555</v>
      </c>
    </row>
    <row r="93" spans="1:6" s="54" customFormat="1" ht="12.75" customHeight="1" x14ac:dyDescent="0.2">
      <c r="A93" s="62" t="s">
        <v>70</v>
      </c>
      <c r="B93" s="62"/>
      <c r="C93" s="106" t="s">
        <v>67</v>
      </c>
      <c r="D93" s="106"/>
      <c r="E93" s="51">
        <v>0.01</v>
      </c>
      <c r="F93" s="80">
        <f>E93*E9</f>
        <v>277.5</v>
      </c>
    </row>
    <row r="94" spans="1:6" s="54" customFormat="1" ht="12.75" customHeight="1" x14ac:dyDescent="0.2">
      <c r="A94" s="62" t="s">
        <v>71</v>
      </c>
      <c r="B94" s="62"/>
      <c r="C94" s="106" t="s">
        <v>68</v>
      </c>
      <c r="D94" s="106"/>
      <c r="E94" s="52">
        <v>750</v>
      </c>
      <c r="F94" s="80">
        <f>E94*E$8</f>
        <v>2812.5</v>
      </c>
    </row>
    <row r="95" spans="1:6" s="54" customFormat="1" ht="12.75" customHeight="1" x14ac:dyDescent="0.2">
      <c r="A95" s="62" t="s">
        <v>77</v>
      </c>
      <c r="B95" s="62"/>
      <c r="C95" s="106" t="s">
        <v>68</v>
      </c>
      <c r="D95" s="106"/>
      <c r="E95" s="52">
        <v>800</v>
      </c>
      <c r="F95" s="80">
        <f>E95*E$8</f>
        <v>3000</v>
      </c>
    </row>
    <row r="96" spans="1:6" s="54" customFormat="1" ht="12.75" customHeight="1" x14ac:dyDescent="0.2">
      <c r="A96" s="105"/>
      <c r="B96" s="105"/>
      <c r="C96" s="108"/>
      <c r="D96" s="108"/>
      <c r="E96" s="52"/>
      <c r="F96" s="80"/>
    </row>
    <row r="97" spans="1:6" s="54" customFormat="1" ht="12.75" customHeight="1" x14ac:dyDescent="0.2">
      <c r="A97" s="105"/>
      <c r="B97" s="105"/>
      <c r="C97" s="108"/>
      <c r="D97" s="108"/>
      <c r="E97" s="52"/>
      <c r="F97" s="80"/>
    </row>
    <row r="98" spans="1:6" s="54" customFormat="1" ht="12.75" customHeight="1" x14ac:dyDescent="0.2">
      <c r="A98" s="105"/>
      <c r="B98" s="105"/>
      <c r="C98" s="108"/>
      <c r="D98" s="108"/>
      <c r="E98" s="52"/>
      <c r="F98" s="80"/>
    </row>
    <row r="99" spans="1:6" s="54" customFormat="1" ht="12.75" customHeight="1" x14ac:dyDescent="0.2">
      <c r="A99" s="64" t="s">
        <v>8</v>
      </c>
      <c r="B99" s="64"/>
      <c r="C99" s="64"/>
      <c r="D99" s="67"/>
      <c r="E99" s="81"/>
      <c r="F99" s="82">
        <f>SUM(F92:F98)</f>
        <v>6645</v>
      </c>
    </row>
    <row r="100" spans="1:6" s="54" customFormat="1" ht="12.75" customHeight="1" x14ac:dyDescent="0.2">
      <c r="A100" s="83"/>
      <c r="B100" s="83"/>
      <c r="C100" s="83"/>
      <c r="D100" s="107"/>
      <c r="E100" s="107"/>
      <c r="F100" s="107"/>
    </row>
    <row r="101" spans="1:6" s="54" customFormat="1" ht="12.75" customHeight="1" x14ac:dyDescent="0.2">
      <c r="A101" s="62" t="s">
        <v>9</v>
      </c>
      <c r="B101" s="62"/>
      <c r="C101" s="62"/>
      <c r="D101" s="67"/>
      <c r="E101" s="84"/>
      <c r="F101" s="80">
        <f>SUM(F99,F89)</f>
        <v>25084.965749999999</v>
      </c>
    </row>
    <row r="102" spans="1:6" s="54" customFormat="1" ht="12.75" customHeight="1" x14ac:dyDescent="0.2">
      <c r="A102" s="62" t="s">
        <v>10</v>
      </c>
      <c r="B102" s="62"/>
      <c r="C102" s="62"/>
      <c r="D102" s="67"/>
      <c r="E102" s="84"/>
      <c r="F102" s="53">
        <v>250</v>
      </c>
    </row>
    <row r="103" spans="1:6" s="54" customFormat="1" ht="12.75" customHeight="1" x14ac:dyDescent="0.2">
      <c r="A103" s="62" t="s">
        <v>11</v>
      </c>
      <c r="B103" s="62"/>
      <c r="C103" s="62"/>
      <c r="D103" s="67"/>
      <c r="E103" s="84"/>
      <c r="F103" s="53">
        <v>350</v>
      </c>
    </row>
    <row r="104" spans="1:6" s="54" customFormat="1" ht="12.75" customHeight="1" x14ac:dyDescent="0.2">
      <c r="A104" s="64" t="s">
        <v>12</v>
      </c>
      <c r="B104" s="64"/>
      <c r="C104" s="64"/>
      <c r="D104" s="67"/>
      <c r="E104" s="81"/>
      <c r="F104" s="82">
        <f>SUM(F101:F103)</f>
        <v>25684.965749999999</v>
      </c>
    </row>
    <row r="105" spans="1:6" ht="12.75" customHeight="1" thickBot="1" x14ac:dyDescent="0.25"/>
    <row r="106" spans="1:6" ht="12.75" customHeight="1" thickBot="1" x14ac:dyDescent="0.25">
      <c r="A106" s="118" t="s">
        <v>80</v>
      </c>
      <c r="B106" s="119"/>
      <c r="C106" s="119"/>
      <c r="D106" s="119"/>
      <c r="E106" s="119"/>
      <c r="F106" s="120"/>
    </row>
    <row r="107" spans="1:6" ht="12.75" customHeight="1" x14ac:dyDescent="0.2">
      <c r="A107" s="55"/>
      <c r="B107" s="55"/>
      <c r="C107" s="123" t="s">
        <v>78</v>
      </c>
      <c r="D107" s="124"/>
      <c r="E107" s="123" t="s">
        <v>79</v>
      </c>
      <c r="F107" s="123"/>
    </row>
    <row r="108" spans="1:6" ht="12.75" customHeight="1" x14ac:dyDescent="0.2">
      <c r="A108" s="85" t="s">
        <v>13</v>
      </c>
      <c r="B108" s="86"/>
      <c r="C108" s="87">
        <f>E14-F101+F95</f>
        <v>2743.8842499999992</v>
      </c>
      <c r="D108" s="88">
        <f>(E14-F101+F95)/E7</f>
        <v>157.2426504297994</v>
      </c>
      <c r="E108" s="87">
        <f>E14-F101</f>
        <v>-256.11575000000084</v>
      </c>
      <c r="F108" s="89">
        <f>(E14-F101)/E7</f>
        <v>-14.67712034383959</v>
      </c>
    </row>
    <row r="109" spans="1:6" ht="12.75" customHeight="1" x14ac:dyDescent="0.2">
      <c r="A109" s="85" t="s">
        <v>14</v>
      </c>
      <c r="B109" s="18" t="s">
        <v>118</v>
      </c>
      <c r="C109" s="87">
        <f>E14-F104+F95</f>
        <v>2143.8842499999992</v>
      </c>
      <c r="D109" s="88">
        <f>(E14-F104+F95)/E7</f>
        <v>122.85869627507159</v>
      </c>
      <c r="E109" s="87">
        <f>E14-F104</f>
        <v>-856.11575000000084</v>
      </c>
      <c r="F109" s="89">
        <f>(E14-F104)/E7</f>
        <v>-49.061074498567386</v>
      </c>
    </row>
    <row r="110" spans="1:6" ht="12.75" customHeight="1" x14ac:dyDescent="0.2">
      <c r="A110" s="85" t="s">
        <v>15</v>
      </c>
      <c r="B110" s="86"/>
      <c r="C110" s="114">
        <f>C109/(F104-F95)</f>
        <v>9.4506832129556961E-2</v>
      </c>
      <c r="D110" s="115"/>
      <c r="E110" s="121">
        <f>E109/F104</f>
        <v>-3.3331395429250316E-2</v>
      </c>
      <c r="F110" s="114"/>
    </row>
    <row r="111" spans="1:6" ht="12.75" customHeight="1" x14ac:dyDescent="0.2">
      <c r="A111" s="85" t="s">
        <v>16</v>
      </c>
      <c r="B111" s="86"/>
      <c r="C111" s="116">
        <f>(F104-F95)/E15</f>
        <v>6761.0359138663289</v>
      </c>
      <c r="D111" s="117"/>
      <c r="E111" s="122">
        <f>F104/E15</f>
        <v>7655.1570672826174</v>
      </c>
      <c r="F111" s="116"/>
    </row>
    <row r="112" spans="1:6" ht="12.75" customHeight="1" x14ac:dyDescent="0.2">
      <c r="A112" s="54" t="s">
        <v>56</v>
      </c>
    </row>
    <row r="113" spans="1:1" ht="12.75" customHeight="1" x14ac:dyDescent="0.2">
      <c r="A113" s="54" t="s">
        <v>81</v>
      </c>
    </row>
    <row r="114" spans="1:1" ht="12.75" customHeight="1" x14ac:dyDescent="0.2">
      <c r="A114" s="54" t="s">
        <v>63</v>
      </c>
    </row>
  </sheetData>
  <sheetProtection sheet="1" objects="1" scenarios="1"/>
  <mergeCells count="92">
    <mergeCell ref="E13:F13"/>
    <mergeCell ref="E14:F14"/>
    <mergeCell ref="A8:C8"/>
    <mergeCell ref="A9:C9"/>
    <mergeCell ref="A10:C10"/>
    <mergeCell ref="A13:C13"/>
    <mergeCell ref="A14:C14"/>
    <mergeCell ref="E8:F8"/>
    <mergeCell ref="E9:F9"/>
    <mergeCell ref="A1:F1"/>
    <mergeCell ref="A2:F2"/>
    <mergeCell ref="A3:F3"/>
    <mergeCell ref="A11:C11"/>
    <mergeCell ref="A12:C12"/>
    <mergeCell ref="E11:F11"/>
    <mergeCell ref="E12:F12"/>
    <mergeCell ref="E10:F10"/>
    <mergeCell ref="E4:F4"/>
    <mergeCell ref="A4:C4"/>
    <mergeCell ref="A5:C5"/>
    <mergeCell ref="A6:C6"/>
    <mergeCell ref="A7:C7"/>
    <mergeCell ref="E5:F5"/>
    <mergeCell ref="E6:F6"/>
    <mergeCell ref="E7:F7"/>
    <mergeCell ref="E15:F15"/>
    <mergeCell ref="A75:B75"/>
    <mergeCell ref="A76:B76"/>
    <mergeCell ref="A79:B79"/>
    <mergeCell ref="A80:B80"/>
    <mergeCell ref="A15:C15"/>
    <mergeCell ref="A69:B69"/>
    <mergeCell ref="A38:B38"/>
    <mergeCell ref="A45:B45"/>
    <mergeCell ref="A46:B46"/>
    <mergeCell ref="A39:B39"/>
    <mergeCell ref="A40:B40"/>
    <mergeCell ref="A41:B41"/>
    <mergeCell ref="A42:B42"/>
    <mergeCell ref="A17:F17"/>
    <mergeCell ref="A36:B36"/>
    <mergeCell ref="C110:D110"/>
    <mergeCell ref="C111:D111"/>
    <mergeCell ref="A106:F106"/>
    <mergeCell ref="E110:F110"/>
    <mergeCell ref="E111:F111"/>
    <mergeCell ref="C107:D107"/>
    <mergeCell ref="E107:F107"/>
    <mergeCell ref="A16:C16"/>
    <mergeCell ref="A47:B47"/>
    <mergeCell ref="A78:B78"/>
    <mergeCell ref="D18:F19"/>
    <mergeCell ref="A29:B29"/>
    <mergeCell ref="A30:B30"/>
    <mergeCell ref="A31:B31"/>
    <mergeCell ref="A32:B32"/>
    <mergeCell ref="A33:B33"/>
    <mergeCell ref="A48:B48"/>
    <mergeCell ref="A49:B49"/>
    <mergeCell ref="A50:B50"/>
    <mergeCell ref="A67:B67"/>
    <mergeCell ref="A68:B68"/>
    <mergeCell ref="A58:B58"/>
    <mergeCell ref="D100:F100"/>
    <mergeCell ref="C97:D97"/>
    <mergeCell ref="C98:D98"/>
    <mergeCell ref="A71:B71"/>
    <mergeCell ref="A44:B44"/>
    <mergeCell ref="A54:B54"/>
    <mergeCell ref="A55:B55"/>
    <mergeCell ref="A56:B56"/>
    <mergeCell ref="A51:B51"/>
    <mergeCell ref="A52:B52"/>
    <mergeCell ref="A53:B53"/>
    <mergeCell ref="C93:D93"/>
    <mergeCell ref="C95:D95"/>
    <mergeCell ref="C96:D96"/>
    <mergeCell ref="A90:D90"/>
    <mergeCell ref="A81:B81"/>
    <mergeCell ref="A98:B98"/>
    <mergeCell ref="C94:D94"/>
    <mergeCell ref="A96:B96"/>
    <mergeCell ref="A97:B97"/>
    <mergeCell ref="C92:D92"/>
    <mergeCell ref="C91:D91"/>
    <mergeCell ref="A82:B82"/>
    <mergeCell ref="A83:B83"/>
    <mergeCell ref="A84:B84"/>
    <mergeCell ref="A85:B85"/>
    <mergeCell ref="A86:B86"/>
    <mergeCell ref="A87:B87"/>
    <mergeCell ref="A88:B88"/>
  </mergeCells>
  <pageMargins left="0.70866141732283472" right="0.70866141732283472" top="0.74803149606299213" bottom="0.98425196850393704" header="0.31496062992125984" footer="0.31496062992125984"/>
  <pageSetup paperSize="9" scale="51" orientation="portrait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zoomScale="130" zoomScaleNormal="130" zoomScalePageLayoutView="140" workbookViewId="0">
      <selection sqref="A1:F1"/>
    </sheetView>
  </sheetViews>
  <sheetFormatPr baseColWidth="10" defaultColWidth="9.140625" defaultRowHeight="12.75" customHeight="1" x14ac:dyDescent="0.2"/>
  <cols>
    <col min="1" max="2" width="15.7109375" style="1" customWidth="1"/>
    <col min="3" max="6" width="13.7109375" style="1" customWidth="1"/>
    <col min="7" max="8" width="9.28515625" style="1" customWidth="1"/>
    <col min="9" max="9" width="1.7109375" style="4" customWidth="1"/>
    <col min="10" max="16384" width="9.140625" style="4"/>
  </cols>
  <sheetData>
    <row r="1" spans="1:6" s="1" customFormat="1" ht="12.75" customHeight="1" x14ac:dyDescent="0.2">
      <c r="A1" s="140" t="s">
        <v>124</v>
      </c>
      <c r="B1" s="140"/>
      <c r="C1" s="140"/>
      <c r="D1" s="140"/>
      <c r="E1" s="140"/>
      <c r="F1" s="140"/>
    </row>
    <row r="2" spans="1:6" s="1" customFormat="1" ht="12.75" customHeight="1" thickBot="1" x14ac:dyDescent="0.3">
      <c r="A2" s="91"/>
      <c r="B2" s="91"/>
      <c r="C2" s="91"/>
      <c r="D2" s="91"/>
      <c r="E2" s="91"/>
      <c r="F2" s="91"/>
    </row>
    <row r="3" spans="1:6" s="1" customFormat="1" ht="12.75" customHeight="1" thickBot="1" x14ac:dyDescent="0.25">
      <c r="A3" s="141" t="s">
        <v>1</v>
      </c>
      <c r="B3" s="142"/>
      <c r="C3" s="142"/>
      <c r="D3" s="142"/>
      <c r="E3" s="142"/>
      <c r="F3" s="143"/>
    </row>
    <row r="4" spans="1:6" s="1" customFormat="1" ht="12.75" customHeight="1" x14ac:dyDescent="0.2">
      <c r="A4" s="144" t="s">
        <v>32</v>
      </c>
      <c r="B4" s="144"/>
      <c r="C4" s="144"/>
      <c r="D4" s="34" t="s">
        <v>33</v>
      </c>
      <c r="E4" s="144" t="s">
        <v>34</v>
      </c>
      <c r="F4" s="144"/>
    </row>
    <row r="5" spans="1:6" s="1" customFormat="1" ht="12.75" customHeight="1" x14ac:dyDescent="0.2">
      <c r="A5" s="139" t="s">
        <v>22</v>
      </c>
      <c r="B5" s="139"/>
      <c r="C5" s="139"/>
      <c r="D5" s="27" t="s">
        <v>17</v>
      </c>
      <c r="E5" s="133">
        <v>7400</v>
      </c>
      <c r="F5" s="133"/>
    </row>
    <row r="6" spans="1:6" s="1" customFormat="1" ht="12.75" customHeight="1" x14ac:dyDescent="0.2">
      <c r="A6" s="139" t="s">
        <v>24</v>
      </c>
      <c r="B6" s="139"/>
      <c r="C6" s="139"/>
      <c r="D6" s="27" t="s">
        <v>18</v>
      </c>
      <c r="E6" s="145">
        <f>E8/E7</f>
        <v>0.21489971346704873</v>
      </c>
      <c r="F6" s="145"/>
    </row>
    <row r="7" spans="1:6" s="1" customFormat="1" ht="12.75" customHeight="1" x14ac:dyDescent="0.2">
      <c r="A7" s="139" t="s">
        <v>23</v>
      </c>
      <c r="B7" s="139"/>
      <c r="C7" s="139"/>
      <c r="D7" s="27" t="s">
        <v>19</v>
      </c>
      <c r="E7" s="135">
        <v>17.45</v>
      </c>
      <c r="F7" s="135"/>
    </row>
    <row r="8" spans="1:6" s="1" customFormat="1" ht="12.75" customHeight="1" x14ac:dyDescent="0.2">
      <c r="A8" s="139" t="s">
        <v>25</v>
      </c>
      <c r="B8" s="139"/>
      <c r="C8" s="139"/>
      <c r="D8" s="27" t="s">
        <v>20</v>
      </c>
      <c r="E8" s="138">
        <v>3.75</v>
      </c>
      <c r="F8" s="138"/>
    </row>
    <row r="9" spans="1:6" s="1" customFormat="1" ht="12.75" customHeight="1" x14ac:dyDescent="0.2">
      <c r="A9" s="139" t="s">
        <v>26</v>
      </c>
      <c r="B9" s="139"/>
      <c r="C9" s="139"/>
      <c r="D9" s="27" t="s">
        <v>21</v>
      </c>
      <c r="E9" s="146">
        <f>E5*E8</f>
        <v>27750</v>
      </c>
      <c r="F9" s="146"/>
    </row>
    <row r="10" spans="1:6" s="1" customFormat="1" ht="12.75" customHeight="1" x14ac:dyDescent="0.2">
      <c r="A10" s="139" t="s">
        <v>31</v>
      </c>
      <c r="B10" s="139"/>
      <c r="C10" s="139"/>
      <c r="D10" s="27" t="s">
        <v>30</v>
      </c>
      <c r="E10" s="132">
        <v>6.5000000000000002E-2</v>
      </c>
      <c r="F10" s="132"/>
    </row>
    <row r="11" spans="1:6" s="1" customFormat="1" ht="12.75" customHeight="1" x14ac:dyDescent="0.2">
      <c r="A11" s="139" t="s">
        <v>31</v>
      </c>
      <c r="B11" s="139"/>
      <c r="C11" s="139"/>
      <c r="D11" s="27" t="s">
        <v>21</v>
      </c>
      <c r="E11" s="146">
        <f>E9*E10</f>
        <v>1803.75</v>
      </c>
      <c r="F11" s="146"/>
    </row>
    <row r="12" spans="1:6" s="1" customFormat="1" ht="12.75" customHeight="1" x14ac:dyDescent="0.2">
      <c r="A12" s="139" t="s">
        <v>105</v>
      </c>
      <c r="B12" s="139"/>
      <c r="C12" s="139"/>
      <c r="D12" s="27" t="s">
        <v>29</v>
      </c>
      <c r="E12" s="131">
        <v>151</v>
      </c>
      <c r="F12" s="131"/>
    </row>
    <row r="13" spans="1:6" s="1" customFormat="1" ht="12.75" customHeight="1" x14ac:dyDescent="0.2">
      <c r="A13" s="139" t="s">
        <v>106</v>
      </c>
      <c r="B13" s="139"/>
      <c r="C13" s="139"/>
      <c r="D13" s="27" t="s">
        <v>21</v>
      </c>
      <c r="E13" s="146">
        <f>E5/1000*E12</f>
        <v>1117.4000000000001</v>
      </c>
      <c r="F13" s="146"/>
    </row>
    <row r="14" spans="1:6" s="5" customFormat="1" ht="12.75" customHeight="1" x14ac:dyDescent="0.2">
      <c r="A14" s="147" t="s">
        <v>27</v>
      </c>
      <c r="B14" s="147"/>
      <c r="C14" s="147"/>
      <c r="D14" s="28" t="s">
        <v>21</v>
      </c>
      <c r="E14" s="148">
        <f>E9-E11-E13</f>
        <v>24828.85</v>
      </c>
      <c r="F14" s="148"/>
    </row>
    <row r="15" spans="1:6" s="1" customFormat="1" ht="12.75" customHeight="1" x14ac:dyDescent="0.2">
      <c r="A15" s="150" t="s">
        <v>28</v>
      </c>
      <c r="B15" s="150"/>
      <c r="C15" s="150"/>
      <c r="D15" s="27" t="s">
        <v>20</v>
      </c>
      <c r="E15" s="151">
        <f>E14/E5</f>
        <v>3.3552499999999998</v>
      </c>
      <c r="F15" s="151"/>
    </row>
    <row r="16" spans="1:6" s="1" customFormat="1" ht="12.75" customHeight="1" thickBot="1" x14ac:dyDescent="0.25">
      <c r="A16" s="152"/>
      <c r="B16" s="152"/>
      <c r="C16" s="152"/>
    </row>
    <row r="17" spans="1:6" s="1" customFormat="1" ht="12.75" customHeight="1" thickBot="1" x14ac:dyDescent="0.25">
      <c r="A17" s="141" t="s">
        <v>2</v>
      </c>
      <c r="B17" s="142"/>
      <c r="C17" s="142"/>
      <c r="D17" s="142"/>
      <c r="E17" s="142"/>
      <c r="F17" s="143"/>
    </row>
    <row r="18" spans="1:6" s="1" customFormat="1" ht="12.75" customHeight="1" x14ac:dyDescent="0.2">
      <c r="A18" s="34" t="s">
        <v>32</v>
      </c>
      <c r="B18" s="34" t="s">
        <v>33</v>
      </c>
      <c r="C18" s="34" t="s">
        <v>65</v>
      </c>
      <c r="D18" s="153" t="s">
        <v>104</v>
      </c>
      <c r="E18" s="153"/>
      <c r="F18" s="153"/>
    </row>
    <row r="19" spans="1:6" s="1" customFormat="1" ht="12.75" customHeight="1" x14ac:dyDescent="0.2">
      <c r="A19" s="6" t="s">
        <v>44</v>
      </c>
      <c r="B19" s="27" t="s">
        <v>21</v>
      </c>
      <c r="C19" s="37">
        <v>600</v>
      </c>
      <c r="D19" s="154"/>
      <c r="E19" s="154"/>
      <c r="F19" s="154"/>
    </row>
    <row r="20" spans="1:6" s="1" customFormat="1" ht="12.75" customHeight="1" x14ac:dyDescent="0.2">
      <c r="A20" s="32" t="s">
        <v>35</v>
      </c>
      <c r="B20" s="32"/>
      <c r="C20" s="36" t="s">
        <v>39</v>
      </c>
      <c r="D20" s="32" t="s">
        <v>102</v>
      </c>
      <c r="E20" s="36" t="s">
        <v>103</v>
      </c>
      <c r="F20" s="32" t="s">
        <v>36</v>
      </c>
    </row>
    <row r="21" spans="1:6" s="1" customFormat="1" ht="12.75" customHeight="1" x14ac:dyDescent="0.2">
      <c r="A21" s="30" t="s">
        <v>40</v>
      </c>
      <c r="B21" s="30"/>
      <c r="C21" s="39">
        <v>1</v>
      </c>
      <c r="D21" s="40">
        <v>1.5</v>
      </c>
      <c r="E21" s="41">
        <v>0</v>
      </c>
      <c r="F21" s="11">
        <f t="shared" ref="F21:F32" si="0">C21*D21*$C$19 +C21*E21</f>
        <v>900</v>
      </c>
    </row>
    <row r="22" spans="1:6" s="1" customFormat="1" ht="12.75" customHeight="1" x14ac:dyDescent="0.2">
      <c r="A22" s="30" t="s">
        <v>41</v>
      </c>
      <c r="B22" s="30"/>
      <c r="C22" s="39">
        <v>1</v>
      </c>
      <c r="D22" s="40">
        <v>1</v>
      </c>
      <c r="E22" s="41">
        <v>0</v>
      </c>
      <c r="F22" s="11">
        <f t="shared" si="0"/>
        <v>600</v>
      </c>
    </row>
    <row r="23" spans="1:6" s="1" customFormat="1" ht="12.75" customHeight="1" x14ac:dyDescent="0.2">
      <c r="A23" s="30" t="s">
        <v>107</v>
      </c>
      <c r="B23" s="30"/>
      <c r="C23" s="39">
        <v>1</v>
      </c>
      <c r="D23" s="40">
        <v>0.5</v>
      </c>
      <c r="E23" s="41">
        <v>0</v>
      </c>
      <c r="F23" s="11">
        <f t="shared" si="0"/>
        <v>300</v>
      </c>
    </row>
    <row r="24" spans="1:6" s="1" customFormat="1" ht="12.75" customHeight="1" x14ac:dyDescent="0.2">
      <c r="A24" s="30" t="s">
        <v>108</v>
      </c>
      <c r="B24" s="30"/>
      <c r="C24" s="39">
        <v>1</v>
      </c>
      <c r="D24" s="40">
        <v>0.5</v>
      </c>
      <c r="E24" s="41">
        <v>0</v>
      </c>
      <c r="F24" s="11">
        <f t="shared" si="0"/>
        <v>300</v>
      </c>
    </row>
    <row r="25" spans="1:6" s="1" customFormat="1" ht="12.75" customHeight="1" x14ac:dyDescent="0.2">
      <c r="A25" s="30" t="s">
        <v>37</v>
      </c>
      <c r="B25" s="30"/>
      <c r="C25" s="39">
        <v>1</v>
      </c>
      <c r="D25" s="40">
        <v>1</v>
      </c>
      <c r="E25" s="41">
        <v>0</v>
      </c>
      <c r="F25" s="11">
        <f t="shared" si="0"/>
        <v>600</v>
      </c>
    </row>
    <row r="26" spans="1:6" s="1" customFormat="1" ht="12.75" customHeight="1" x14ac:dyDescent="0.2">
      <c r="A26" s="30" t="s">
        <v>38</v>
      </c>
      <c r="B26" s="30"/>
      <c r="C26" s="39">
        <v>1</v>
      </c>
      <c r="D26" s="40">
        <v>0.5</v>
      </c>
      <c r="E26" s="41">
        <v>0</v>
      </c>
      <c r="F26" s="11">
        <f t="shared" si="0"/>
        <v>300</v>
      </c>
    </row>
    <row r="27" spans="1:6" s="1" customFormat="1" ht="12.75" customHeight="1" x14ac:dyDescent="0.2">
      <c r="A27" s="30" t="s">
        <v>43</v>
      </c>
      <c r="B27" s="30"/>
      <c r="C27" s="39">
        <v>2</v>
      </c>
      <c r="D27" s="40">
        <v>0.25</v>
      </c>
      <c r="E27" s="41">
        <v>0</v>
      </c>
      <c r="F27" s="11">
        <f t="shared" si="0"/>
        <v>300</v>
      </c>
    </row>
    <row r="28" spans="1:6" s="1" customFormat="1" ht="12.75" customHeight="1" x14ac:dyDescent="0.2">
      <c r="A28" s="30" t="s">
        <v>42</v>
      </c>
      <c r="B28" s="30"/>
      <c r="C28" s="39">
        <v>1</v>
      </c>
      <c r="D28" s="40">
        <f>[1]Cantidad!S21</f>
        <v>0.5</v>
      </c>
      <c r="E28" s="41">
        <v>0</v>
      </c>
      <c r="F28" s="11">
        <f t="shared" si="0"/>
        <v>300</v>
      </c>
    </row>
    <row r="29" spans="1:6" s="1" customFormat="1" ht="12.75" customHeight="1" x14ac:dyDescent="0.2">
      <c r="A29" s="139" t="s">
        <v>59</v>
      </c>
      <c r="B29" s="139"/>
      <c r="C29" s="39">
        <v>1</v>
      </c>
      <c r="D29" s="42"/>
      <c r="E29" s="43">
        <v>144</v>
      </c>
      <c r="F29" s="11">
        <f t="shared" si="0"/>
        <v>144</v>
      </c>
    </row>
    <row r="30" spans="1:6" s="1" customFormat="1" ht="12.75" customHeight="1" x14ac:dyDescent="0.2">
      <c r="A30" s="139" t="s">
        <v>87</v>
      </c>
      <c r="B30" s="139"/>
      <c r="C30" s="39">
        <v>1</v>
      </c>
      <c r="D30" s="42"/>
      <c r="E30" s="43">
        <v>144</v>
      </c>
      <c r="F30" s="11">
        <f t="shared" si="0"/>
        <v>144</v>
      </c>
    </row>
    <row r="31" spans="1:6" s="1" customFormat="1" ht="12.75" customHeight="1" x14ac:dyDescent="0.2">
      <c r="A31" s="105"/>
      <c r="B31" s="105"/>
      <c r="C31" s="40"/>
      <c r="D31" s="39"/>
      <c r="E31" s="41">
        <v>0</v>
      </c>
      <c r="F31" s="11">
        <f t="shared" si="0"/>
        <v>0</v>
      </c>
    </row>
    <row r="32" spans="1:6" s="1" customFormat="1" ht="12.75" customHeight="1" x14ac:dyDescent="0.2">
      <c r="A32" s="105"/>
      <c r="B32" s="105"/>
      <c r="C32" s="40"/>
      <c r="D32" s="39"/>
      <c r="E32" s="41">
        <v>0</v>
      </c>
      <c r="F32" s="11">
        <f t="shared" si="0"/>
        <v>0</v>
      </c>
    </row>
    <row r="33" spans="1:6" s="5" customFormat="1" ht="12.75" customHeight="1" x14ac:dyDescent="0.2">
      <c r="A33" s="31" t="s">
        <v>72</v>
      </c>
      <c r="B33" s="31"/>
      <c r="C33" s="26"/>
      <c r="D33" s="31"/>
      <c r="E33" s="26"/>
      <c r="F33" s="12">
        <f>SUM(F21:F32)</f>
        <v>3888</v>
      </c>
    </row>
    <row r="34" spans="1:6" ht="12.75" customHeight="1" x14ac:dyDescent="0.2">
      <c r="A34" s="35"/>
      <c r="B34" s="35"/>
      <c r="C34" s="35"/>
      <c r="D34" s="35"/>
      <c r="E34" s="35"/>
      <c r="F34" s="35"/>
    </row>
    <row r="35" spans="1:6" s="1" customFormat="1" ht="12.75" customHeight="1" x14ac:dyDescent="0.2">
      <c r="A35" s="149" t="s">
        <v>3</v>
      </c>
      <c r="B35" s="149"/>
      <c r="C35" s="36" t="s">
        <v>33</v>
      </c>
      <c r="D35" s="32" t="s">
        <v>83</v>
      </c>
      <c r="E35" s="32" t="s">
        <v>66</v>
      </c>
      <c r="F35" s="32" t="s">
        <v>36</v>
      </c>
    </row>
    <row r="36" spans="1:6" s="1" customFormat="1" ht="12.75" customHeight="1" x14ac:dyDescent="0.2">
      <c r="A36" s="30" t="s">
        <v>45</v>
      </c>
      <c r="B36" s="30"/>
      <c r="C36" s="27" t="s">
        <v>84</v>
      </c>
      <c r="D36" s="42">
        <v>130</v>
      </c>
      <c r="E36" s="44">
        <v>5.25</v>
      </c>
      <c r="F36" s="13">
        <f>D36*E36</f>
        <v>682.5</v>
      </c>
    </row>
    <row r="37" spans="1:6" s="1" customFormat="1" ht="12.75" customHeight="1" x14ac:dyDescent="0.2">
      <c r="A37" s="149" t="s">
        <v>109</v>
      </c>
      <c r="B37" s="149"/>
      <c r="C37" s="27"/>
      <c r="D37" s="32" t="s">
        <v>46</v>
      </c>
      <c r="E37" s="32" t="s">
        <v>66</v>
      </c>
      <c r="F37" s="32" t="s">
        <v>36</v>
      </c>
    </row>
    <row r="38" spans="1:6" s="1" customFormat="1" ht="12.75" customHeight="1" x14ac:dyDescent="0.2">
      <c r="A38" s="139" t="s">
        <v>110</v>
      </c>
      <c r="B38" s="139"/>
      <c r="C38" s="27" t="s">
        <v>85</v>
      </c>
      <c r="D38" s="42">
        <f>0.25*130/100</f>
        <v>0.32500000000000001</v>
      </c>
      <c r="E38" s="43">
        <f>9*E7</f>
        <v>157.04999999999998</v>
      </c>
      <c r="F38" s="13">
        <f t="shared" ref="F38:F41" si="1">D38*E38</f>
        <v>51.041249999999998</v>
      </c>
    </row>
    <row r="39" spans="1:6" s="1" customFormat="1" ht="12.75" customHeight="1" x14ac:dyDescent="0.2">
      <c r="A39" s="139" t="s">
        <v>111</v>
      </c>
      <c r="B39" s="139"/>
      <c r="C39" s="27" t="s">
        <v>85</v>
      </c>
      <c r="D39" s="42">
        <f>0.3*130/100</f>
        <v>0.39</v>
      </c>
      <c r="E39" s="43">
        <f>15*E7</f>
        <v>261.75</v>
      </c>
      <c r="F39" s="13">
        <f t="shared" si="1"/>
        <v>102.08250000000001</v>
      </c>
    </row>
    <row r="40" spans="1:6" s="1" customFormat="1" ht="12.75" customHeight="1" x14ac:dyDescent="0.2">
      <c r="A40" s="105"/>
      <c r="B40" s="105"/>
      <c r="C40" s="45"/>
      <c r="D40" s="46"/>
      <c r="E40" s="47"/>
      <c r="F40" s="13">
        <f t="shared" si="1"/>
        <v>0</v>
      </c>
    </row>
    <row r="41" spans="1:6" s="1" customFormat="1" ht="12.75" customHeight="1" x14ac:dyDescent="0.2">
      <c r="A41" s="105"/>
      <c r="B41" s="105"/>
      <c r="C41" s="45"/>
      <c r="D41" s="46"/>
      <c r="E41" s="47"/>
      <c r="F41" s="13">
        <f t="shared" si="1"/>
        <v>0</v>
      </c>
    </row>
    <row r="42" spans="1:6" s="5" customFormat="1" ht="12.75" customHeight="1" x14ac:dyDescent="0.2">
      <c r="A42" s="31" t="s">
        <v>112</v>
      </c>
      <c r="B42" s="31"/>
      <c r="C42" s="28"/>
      <c r="D42" s="7"/>
      <c r="E42" s="8"/>
      <c r="F42" s="14">
        <f>SUM(F38:F41)</f>
        <v>153.12375</v>
      </c>
    </row>
    <row r="43" spans="1:6" s="1" customFormat="1" ht="12.75" customHeight="1" x14ac:dyDescent="0.2">
      <c r="A43" s="149" t="s">
        <v>74</v>
      </c>
      <c r="B43" s="149"/>
      <c r="C43" s="27"/>
      <c r="D43" s="32" t="s">
        <v>46</v>
      </c>
      <c r="E43" s="32" t="s">
        <v>66</v>
      </c>
      <c r="F43" s="32" t="s">
        <v>36</v>
      </c>
    </row>
    <row r="44" spans="1:6" s="1" customFormat="1" ht="12.75" customHeight="1" x14ac:dyDescent="0.2">
      <c r="A44" s="155" t="s">
        <v>90</v>
      </c>
      <c r="B44" s="155"/>
      <c r="C44" s="27" t="s">
        <v>85</v>
      </c>
      <c r="D44" s="42"/>
      <c r="E44" s="43">
        <v>3773</v>
      </c>
      <c r="F44" s="13">
        <f t="shared" ref="F44:F55" si="2">D44*E44</f>
        <v>0</v>
      </c>
    </row>
    <row r="45" spans="1:6" s="1" customFormat="1" ht="12.75" customHeight="1" x14ac:dyDescent="0.2">
      <c r="A45" s="139" t="s">
        <v>91</v>
      </c>
      <c r="B45" s="139"/>
      <c r="C45" s="27" t="s">
        <v>85</v>
      </c>
      <c r="D45" s="46"/>
      <c r="E45" s="43">
        <v>821</v>
      </c>
      <c r="F45" s="13">
        <f t="shared" si="2"/>
        <v>0</v>
      </c>
    </row>
    <row r="46" spans="1:6" s="1" customFormat="1" ht="12.75" customHeight="1" x14ac:dyDescent="0.2">
      <c r="A46" s="139" t="s">
        <v>92</v>
      </c>
      <c r="B46" s="139"/>
      <c r="C46" s="27" t="s">
        <v>85</v>
      </c>
      <c r="D46" s="46"/>
      <c r="E46" s="43">
        <v>403.2</v>
      </c>
      <c r="F46" s="13">
        <f t="shared" si="2"/>
        <v>0</v>
      </c>
    </row>
    <row r="47" spans="1:6" s="1" customFormat="1" ht="12.75" customHeight="1" x14ac:dyDescent="0.2">
      <c r="A47" s="139" t="s">
        <v>93</v>
      </c>
      <c r="B47" s="139"/>
      <c r="C47" s="27" t="s">
        <v>85</v>
      </c>
      <c r="D47" s="46">
        <f>[1]Cantidad!S9</f>
        <v>4</v>
      </c>
      <c r="E47" s="43">
        <f>4*E7</f>
        <v>69.8</v>
      </c>
      <c r="F47" s="13">
        <f t="shared" si="2"/>
        <v>279.2</v>
      </c>
    </row>
    <row r="48" spans="1:6" s="1" customFormat="1" ht="12.75" customHeight="1" x14ac:dyDescent="0.2">
      <c r="A48" s="139" t="s">
        <v>94</v>
      </c>
      <c r="B48" s="139"/>
      <c r="C48" s="27" t="s">
        <v>84</v>
      </c>
      <c r="D48" s="46">
        <v>0.28000000000000003</v>
      </c>
      <c r="E48" s="43">
        <f>496*E7/2.8</f>
        <v>3091.1428571428569</v>
      </c>
      <c r="F48" s="13">
        <f t="shared" si="2"/>
        <v>865.52</v>
      </c>
    </row>
    <row r="49" spans="1:6" s="1" customFormat="1" ht="12.75" customHeight="1" x14ac:dyDescent="0.2">
      <c r="A49" s="139" t="s">
        <v>95</v>
      </c>
      <c r="B49" s="139"/>
      <c r="C49" s="27" t="s">
        <v>85</v>
      </c>
      <c r="D49" s="46"/>
      <c r="E49" s="43">
        <v>245</v>
      </c>
      <c r="F49" s="13">
        <f t="shared" si="2"/>
        <v>0</v>
      </c>
    </row>
    <row r="50" spans="1:6" s="1" customFormat="1" ht="12.75" customHeight="1" x14ac:dyDescent="0.2">
      <c r="A50" s="139" t="s">
        <v>96</v>
      </c>
      <c r="B50" s="139"/>
      <c r="C50" s="27" t="s">
        <v>85</v>
      </c>
      <c r="D50" s="46"/>
      <c r="E50" s="47"/>
      <c r="F50" s="13">
        <f t="shared" si="2"/>
        <v>0</v>
      </c>
    </row>
    <row r="51" spans="1:6" s="1" customFormat="1" ht="12.75" customHeight="1" x14ac:dyDescent="0.2">
      <c r="A51" s="139" t="s">
        <v>97</v>
      </c>
      <c r="B51" s="139"/>
      <c r="C51" s="27" t="s">
        <v>85</v>
      </c>
      <c r="D51" s="46"/>
      <c r="E51" s="47"/>
      <c r="F51" s="13">
        <f t="shared" si="2"/>
        <v>0</v>
      </c>
    </row>
    <row r="52" spans="1:6" s="1" customFormat="1" ht="12.75" customHeight="1" x14ac:dyDescent="0.2">
      <c r="A52" s="139" t="s">
        <v>98</v>
      </c>
      <c r="B52" s="139"/>
      <c r="C52" s="27" t="s">
        <v>85</v>
      </c>
      <c r="D52" s="46"/>
      <c r="E52" s="47"/>
      <c r="F52" s="13">
        <f t="shared" si="2"/>
        <v>0</v>
      </c>
    </row>
    <row r="53" spans="1:6" s="1" customFormat="1" ht="12.75" customHeight="1" x14ac:dyDescent="0.2">
      <c r="A53" s="105"/>
      <c r="B53" s="105"/>
      <c r="C53" s="45"/>
      <c r="D53" s="46"/>
      <c r="E53" s="47"/>
      <c r="F53" s="13">
        <f t="shared" si="2"/>
        <v>0</v>
      </c>
    </row>
    <row r="54" spans="1:6" s="1" customFormat="1" ht="12.75" customHeight="1" x14ac:dyDescent="0.2">
      <c r="A54" s="105"/>
      <c r="B54" s="105"/>
      <c r="C54" s="45"/>
      <c r="D54" s="46"/>
      <c r="E54" s="47"/>
      <c r="F54" s="13">
        <f t="shared" si="2"/>
        <v>0</v>
      </c>
    </row>
    <row r="55" spans="1:6" s="1" customFormat="1" ht="12.75" customHeight="1" x14ac:dyDescent="0.2">
      <c r="A55" s="105"/>
      <c r="B55" s="105"/>
      <c r="C55" s="45"/>
      <c r="D55" s="46"/>
      <c r="E55" s="47"/>
      <c r="F55" s="13">
        <f t="shared" si="2"/>
        <v>0</v>
      </c>
    </row>
    <row r="56" spans="1:6" s="5" customFormat="1" ht="12.75" customHeight="1" x14ac:dyDescent="0.2">
      <c r="A56" s="31" t="s">
        <v>73</v>
      </c>
      <c r="B56" s="31"/>
      <c r="C56" s="26"/>
      <c r="D56" s="7"/>
      <c r="E56" s="8"/>
      <c r="F56" s="14">
        <f>SUM(F44:F55)</f>
        <v>1144.72</v>
      </c>
    </row>
    <row r="57" spans="1:6" s="1" customFormat="1" ht="12.75" customHeight="1" x14ac:dyDescent="0.2">
      <c r="A57" s="149" t="s">
        <v>75</v>
      </c>
      <c r="B57" s="149"/>
      <c r="C57" s="36" t="s">
        <v>33</v>
      </c>
      <c r="D57" s="32" t="s">
        <v>46</v>
      </c>
      <c r="E57" s="32" t="s">
        <v>66</v>
      </c>
      <c r="F57" s="32" t="s">
        <v>36</v>
      </c>
    </row>
    <row r="58" spans="1:6" s="1" customFormat="1" ht="12.75" customHeight="1" x14ac:dyDescent="0.2">
      <c r="A58" s="30" t="s">
        <v>47</v>
      </c>
      <c r="B58" s="30"/>
      <c r="C58" s="27" t="s">
        <v>85</v>
      </c>
      <c r="D58" s="42">
        <v>4</v>
      </c>
      <c r="E58" s="43">
        <v>86.4</v>
      </c>
      <c r="F58" s="13">
        <f t="shared" ref="F58:F68" si="3">D58*E58</f>
        <v>345.6</v>
      </c>
    </row>
    <row r="59" spans="1:6" s="1" customFormat="1" ht="12.75" customHeight="1" x14ac:dyDescent="0.2">
      <c r="A59" s="30" t="s">
        <v>48</v>
      </c>
      <c r="B59" s="30"/>
      <c r="C59" s="27" t="s">
        <v>84</v>
      </c>
      <c r="D59" s="42">
        <v>120</v>
      </c>
      <c r="E59" s="43">
        <f>403*E7/1000</f>
        <v>7.0323499999999992</v>
      </c>
      <c r="F59" s="13">
        <f t="shared" si="3"/>
        <v>843.88199999999995</v>
      </c>
    </row>
    <row r="60" spans="1:6" s="1" customFormat="1" ht="12.75" customHeight="1" x14ac:dyDescent="0.2">
      <c r="A60" s="30" t="s">
        <v>49</v>
      </c>
      <c r="B60" s="30"/>
      <c r="C60" s="27" t="s">
        <v>84</v>
      </c>
      <c r="D60" s="42"/>
      <c r="E60" s="43">
        <v>7.2</v>
      </c>
      <c r="F60" s="13">
        <f t="shared" si="3"/>
        <v>0</v>
      </c>
    </row>
    <row r="61" spans="1:6" s="1" customFormat="1" ht="12.75" customHeight="1" x14ac:dyDescent="0.2">
      <c r="A61" s="30" t="s">
        <v>50</v>
      </c>
      <c r="B61" s="30"/>
      <c r="C61" s="27" t="s">
        <v>84</v>
      </c>
      <c r="D61" s="42"/>
      <c r="E61" s="43">
        <v>6.8</v>
      </c>
      <c r="F61" s="13">
        <f t="shared" si="3"/>
        <v>0</v>
      </c>
    </row>
    <row r="62" spans="1:6" s="1" customFormat="1" ht="12.75" customHeight="1" x14ac:dyDescent="0.2">
      <c r="A62" s="30" t="s">
        <v>51</v>
      </c>
      <c r="B62" s="30"/>
      <c r="C62" s="27" t="s">
        <v>84</v>
      </c>
      <c r="D62" s="42"/>
      <c r="E62" s="43">
        <v>7.2</v>
      </c>
      <c r="F62" s="13">
        <f t="shared" si="3"/>
        <v>0</v>
      </c>
    </row>
    <row r="63" spans="1:6" s="1" customFormat="1" ht="12.75" customHeight="1" x14ac:dyDescent="0.2">
      <c r="A63" s="30" t="s">
        <v>52</v>
      </c>
      <c r="B63" s="30"/>
      <c r="C63" s="27" t="s">
        <v>84</v>
      </c>
      <c r="D63" s="42"/>
      <c r="E63" s="43">
        <f>0.42*14.4</f>
        <v>6.048</v>
      </c>
      <c r="F63" s="13">
        <f t="shared" si="3"/>
        <v>0</v>
      </c>
    </row>
    <row r="64" spans="1:6" s="1" customFormat="1" ht="12.75" customHeight="1" x14ac:dyDescent="0.2">
      <c r="A64" s="30" t="s">
        <v>53</v>
      </c>
      <c r="B64" s="30"/>
      <c r="C64" s="27" t="s">
        <v>84</v>
      </c>
      <c r="D64" s="42">
        <v>100</v>
      </c>
      <c r="E64" s="43">
        <f>553*E7/1000</f>
        <v>9.6498500000000007</v>
      </c>
      <c r="F64" s="13">
        <f t="shared" si="3"/>
        <v>964.98500000000013</v>
      </c>
    </row>
    <row r="65" spans="1:6" s="1" customFormat="1" ht="12.75" customHeight="1" x14ac:dyDescent="0.2">
      <c r="A65" s="30" t="s">
        <v>54</v>
      </c>
      <c r="B65" s="30"/>
      <c r="C65" s="27" t="s">
        <v>84</v>
      </c>
      <c r="D65" s="42"/>
      <c r="E65" s="43">
        <v>8.1999999999999993</v>
      </c>
      <c r="F65" s="13">
        <f t="shared" si="3"/>
        <v>0</v>
      </c>
    </row>
    <row r="66" spans="1:6" s="1" customFormat="1" ht="12.75" customHeight="1" x14ac:dyDescent="0.2">
      <c r="A66" s="105"/>
      <c r="B66" s="105"/>
      <c r="C66" s="40"/>
      <c r="D66" s="42"/>
      <c r="E66" s="47"/>
      <c r="F66" s="13">
        <f t="shared" si="3"/>
        <v>0</v>
      </c>
    </row>
    <row r="67" spans="1:6" s="1" customFormat="1" ht="12.75" customHeight="1" x14ac:dyDescent="0.2">
      <c r="A67" s="105"/>
      <c r="B67" s="105"/>
      <c r="C67" s="40"/>
      <c r="D67" s="42"/>
      <c r="E67" s="47"/>
      <c r="F67" s="13">
        <f t="shared" si="3"/>
        <v>0</v>
      </c>
    </row>
    <row r="68" spans="1:6" s="1" customFormat="1" ht="12.75" customHeight="1" x14ac:dyDescent="0.2">
      <c r="A68" s="105"/>
      <c r="B68" s="105"/>
      <c r="C68" s="40"/>
      <c r="D68" s="42"/>
      <c r="E68" s="47"/>
      <c r="F68" s="13">
        <f t="shared" si="3"/>
        <v>0</v>
      </c>
    </row>
    <row r="69" spans="1:6" s="5" customFormat="1" ht="12.75" customHeight="1" x14ac:dyDescent="0.2">
      <c r="A69" s="31" t="s">
        <v>76</v>
      </c>
      <c r="B69" s="31"/>
      <c r="C69" s="26"/>
      <c r="D69" s="7"/>
      <c r="E69" s="8"/>
      <c r="F69" s="14">
        <f>SUM(F57:F68)</f>
        <v>2154.4670000000001</v>
      </c>
    </row>
    <row r="70" spans="1:6" s="1" customFormat="1" ht="12.75" customHeight="1" x14ac:dyDescent="0.2">
      <c r="A70" s="149" t="s">
        <v>82</v>
      </c>
      <c r="B70" s="149"/>
      <c r="C70" s="36" t="s">
        <v>33</v>
      </c>
      <c r="D70" s="32" t="s">
        <v>46</v>
      </c>
      <c r="E70" s="32" t="s">
        <v>66</v>
      </c>
      <c r="F70" s="32" t="s">
        <v>36</v>
      </c>
    </row>
    <row r="71" spans="1:6" s="1" customFormat="1" ht="12.75" customHeight="1" x14ac:dyDescent="0.2">
      <c r="A71" s="30" t="s">
        <v>99</v>
      </c>
      <c r="B71" s="30"/>
      <c r="C71" s="27" t="s">
        <v>85</v>
      </c>
      <c r="D71" s="42">
        <v>0.5</v>
      </c>
      <c r="E71" s="43">
        <f>41*E7</f>
        <v>715.44999999999993</v>
      </c>
      <c r="F71" s="13">
        <f t="shared" ref="F71:F75" si="4">D71*E71</f>
        <v>357.72499999999997</v>
      </c>
    </row>
    <row r="72" spans="1:6" s="1" customFormat="1" ht="12.75" customHeight="1" x14ac:dyDescent="0.2">
      <c r="A72" s="21" t="s">
        <v>100</v>
      </c>
      <c r="B72" s="30"/>
      <c r="C72" s="27" t="s">
        <v>85</v>
      </c>
      <c r="D72" s="42"/>
      <c r="E72" s="43"/>
      <c r="F72" s="13">
        <f t="shared" si="4"/>
        <v>0</v>
      </c>
    </row>
    <row r="73" spans="1:6" s="1" customFormat="1" ht="12.75" customHeight="1" x14ac:dyDescent="0.2">
      <c r="A73" s="21" t="s">
        <v>101</v>
      </c>
      <c r="B73" s="30"/>
      <c r="C73" s="27" t="s">
        <v>85</v>
      </c>
      <c r="D73" s="42"/>
      <c r="E73" s="43"/>
      <c r="F73" s="13">
        <f t="shared" si="4"/>
        <v>0</v>
      </c>
    </row>
    <row r="74" spans="1:6" s="1" customFormat="1" ht="12.75" customHeight="1" x14ac:dyDescent="0.2">
      <c r="A74" s="105"/>
      <c r="B74" s="105"/>
      <c r="C74" s="40"/>
      <c r="D74" s="42"/>
      <c r="E74" s="47"/>
      <c r="F74" s="13">
        <f t="shared" si="4"/>
        <v>0</v>
      </c>
    </row>
    <row r="75" spans="1:6" s="1" customFormat="1" ht="12.75" customHeight="1" x14ac:dyDescent="0.2">
      <c r="A75" s="105"/>
      <c r="B75" s="105"/>
      <c r="C75" s="40"/>
      <c r="D75" s="42"/>
      <c r="E75" s="47"/>
      <c r="F75" s="13">
        <f t="shared" si="4"/>
        <v>0</v>
      </c>
    </row>
    <row r="76" spans="1:6" s="5" customFormat="1" ht="12.75" customHeight="1" x14ac:dyDescent="0.2">
      <c r="A76" s="31" t="s">
        <v>86</v>
      </c>
      <c r="B76" s="31"/>
      <c r="C76" s="26"/>
      <c r="D76" s="7"/>
      <c r="E76" s="8"/>
      <c r="F76" s="14">
        <f>SUM(F71:F75)</f>
        <v>357.72499999999997</v>
      </c>
    </row>
    <row r="77" spans="1:6" s="5" customFormat="1" ht="12.75" customHeight="1" x14ac:dyDescent="0.2">
      <c r="A77" s="90"/>
      <c r="B77" s="90"/>
      <c r="C77" s="26"/>
      <c r="D77" s="7"/>
      <c r="E77" s="8"/>
      <c r="F77" s="14"/>
    </row>
    <row r="78" spans="1:6" s="1" customFormat="1" ht="12.75" customHeight="1" x14ac:dyDescent="0.2">
      <c r="A78" s="32" t="s">
        <v>88</v>
      </c>
      <c r="B78" s="32" t="s">
        <v>33</v>
      </c>
      <c r="C78" s="36" t="s">
        <v>83</v>
      </c>
      <c r="D78" s="32" t="s">
        <v>113</v>
      </c>
      <c r="E78" s="36" t="s">
        <v>114</v>
      </c>
      <c r="F78" s="32" t="s">
        <v>36</v>
      </c>
    </row>
    <row r="79" spans="1:6" s="1" customFormat="1" ht="12.75" customHeight="1" x14ac:dyDescent="0.2">
      <c r="A79" s="98" t="s">
        <v>121</v>
      </c>
      <c r="B79" s="99" t="s">
        <v>120</v>
      </c>
      <c r="C79" s="100">
        <v>1400</v>
      </c>
      <c r="D79" s="101">
        <v>3.7359</v>
      </c>
      <c r="E79" s="101">
        <v>0</v>
      </c>
      <c r="F79" s="102">
        <f>C79*D79+E79</f>
        <v>5230.26</v>
      </c>
    </row>
    <row r="80" spans="1:6" s="1" customFormat="1" ht="12.75" customHeight="1" x14ac:dyDescent="0.2">
      <c r="A80" s="92"/>
      <c r="B80" s="93"/>
      <c r="C80" s="95"/>
      <c r="D80" s="96"/>
      <c r="E80" s="97"/>
      <c r="F80" s="94"/>
    </row>
    <row r="81" spans="1:6" s="5" customFormat="1" ht="12.75" customHeight="1" x14ac:dyDescent="0.2">
      <c r="A81" s="149"/>
      <c r="B81" s="149"/>
      <c r="C81" s="36" t="s">
        <v>33</v>
      </c>
      <c r="D81" s="48" t="s">
        <v>89</v>
      </c>
      <c r="E81" s="38" t="s">
        <v>66</v>
      </c>
      <c r="F81" s="32" t="s">
        <v>36</v>
      </c>
    </row>
    <row r="82" spans="1:6" s="1" customFormat="1" ht="12.75" customHeight="1" x14ac:dyDescent="0.2">
      <c r="A82" s="139" t="s">
        <v>57</v>
      </c>
      <c r="B82" s="139"/>
      <c r="C82" s="27" t="s">
        <v>85</v>
      </c>
      <c r="D82" s="42">
        <v>0</v>
      </c>
      <c r="E82" s="43">
        <v>12.8</v>
      </c>
      <c r="F82" s="13">
        <f>D82*E82</f>
        <v>0</v>
      </c>
    </row>
    <row r="83" spans="1:6" s="1" customFormat="1" ht="12.75" customHeight="1" x14ac:dyDescent="0.2">
      <c r="A83" s="139" t="s">
        <v>115</v>
      </c>
      <c r="B83" s="139"/>
      <c r="C83" s="27"/>
      <c r="D83" s="9"/>
      <c r="E83" s="43">
        <v>1886</v>
      </c>
      <c r="F83" s="13">
        <f>E83</f>
        <v>1886</v>
      </c>
    </row>
    <row r="84" spans="1:6" s="1" customFormat="1" ht="12.75" customHeight="1" x14ac:dyDescent="0.2">
      <c r="A84" s="139" t="s">
        <v>116</v>
      </c>
      <c r="B84" s="139"/>
      <c r="C84" s="27"/>
      <c r="D84" s="9"/>
      <c r="E84" s="43">
        <v>547</v>
      </c>
      <c r="F84" s="13">
        <v>547</v>
      </c>
    </row>
    <row r="85" spans="1:6" s="1" customFormat="1" ht="12.75" customHeight="1" x14ac:dyDescent="0.2">
      <c r="A85" s="139" t="s">
        <v>4</v>
      </c>
      <c r="B85" s="139"/>
      <c r="C85" s="27" t="s">
        <v>60</v>
      </c>
      <c r="D85" s="42">
        <v>1</v>
      </c>
      <c r="E85" s="43">
        <v>195</v>
      </c>
      <c r="F85" s="13">
        <f>D85*E85</f>
        <v>195</v>
      </c>
    </row>
    <row r="86" spans="1:6" s="1" customFormat="1" ht="12.75" customHeight="1" x14ac:dyDescent="0.2">
      <c r="A86" s="139" t="s">
        <v>5</v>
      </c>
      <c r="B86" s="139"/>
      <c r="C86" s="6" t="s">
        <v>64</v>
      </c>
      <c r="D86" s="35"/>
      <c r="E86" s="49">
        <v>2.4199999999999999E-2</v>
      </c>
      <c r="F86" s="13">
        <f>E86*E9</f>
        <v>671.55</v>
      </c>
    </row>
    <row r="87" spans="1:6" s="1" customFormat="1" ht="12.75" customHeight="1" x14ac:dyDescent="0.2">
      <c r="A87" s="105"/>
      <c r="B87" s="105"/>
      <c r="C87" s="40"/>
      <c r="D87" s="39"/>
      <c r="E87" s="50"/>
      <c r="F87" s="13">
        <f>E87*E10</f>
        <v>0</v>
      </c>
    </row>
    <row r="88" spans="1:6" s="1" customFormat="1" ht="12.75" customHeight="1" x14ac:dyDescent="0.2">
      <c r="A88" s="105"/>
      <c r="B88" s="105"/>
      <c r="C88" s="40"/>
      <c r="D88" s="39"/>
      <c r="E88" s="50"/>
      <c r="F88" s="13">
        <f>E88*E11</f>
        <v>0</v>
      </c>
    </row>
    <row r="89" spans="1:6" s="1" customFormat="1" ht="12.75" customHeight="1" x14ac:dyDescent="0.2">
      <c r="A89" s="105"/>
      <c r="B89" s="105"/>
      <c r="C89" s="40"/>
      <c r="D89" s="39"/>
      <c r="E89" s="50"/>
      <c r="F89" s="13">
        <f>E89*E12</f>
        <v>0</v>
      </c>
    </row>
    <row r="90" spans="1:6" s="3" customFormat="1" ht="12.75" customHeight="1" x14ac:dyDescent="0.2">
      <c r="A90" s="31" t="s">
        <v>6</v>
      </c>
      <c r="B90" s="31"/>
      <c r="C90" s="10"/>
      <c r="D90" s="10"/>
      <c r="E90" s="10"/>
      <c r="F90" s="15">
        <f>SUM(F33,F36,F42,F56,F69,F76,F79:F89)</f>
        <v>16910.34575</v>
      </c>
    </row>
    <row r="91" spans="1:6" s="1" customFormat="1" ht="12.75" customHeight="1" x14ac:dyDescent="0.2">
      <c r="A91" s="156"/>
      <c r="B91" s="156"/>
      <c r="C91" s="156"/>
      <c r="D91" s="156"/>
      <c r="E91" s="33"/>
    </row>
    <row r="92" spans="1:6" s="1" customFormat="1" ht="12.75" customHeight="1" x14ac:dyDescent="0.2">
      <c r="A92" s="31" t="s">
        <v>7</v>
      </c>
      <c r="B92" s="31"/>
      <c r="C92" s="157" t="s">
        <v>33</v>
      </c>
      <c r="D92" s="157"/>
      <c r="E92" s="32" t="s">
        <v>66</v>
      </c>
      <c r="F92" s="32" t="s">
        <v>36</v>
      </c>
    </row>
    <row r="93" spans="1:6" s="1" customFormat="1" ht="12.75" customHeight="1" x14ac:dyDescent="0.2">
      <c r="A93" s="30" t="s">
        <v>69</v>
      </c>
      <c r="B93" s="30"/>
      <c r="C93" s="158" t="s">
        <v>67</v>
      </c>
      <c r="D93" s="158"/>
      <c r="E93" s="51">
        <v>0.02</v>
      </c>
      <c r="F93" s="22">
        <f>E93*E9</f>
        <v>555</v>
      </c>
    </row>
    <row r="94" spans="1:6" s="1" customFormat="1" ht="12.75" customHeight="1" x14ac:dyDescent="0.2">
      <c r="A94" s="30" t="s">
        <v>70</v>
      </c>
      <c r="B94" s="30"/>
      <c r="C94" s="158" t="s">
        <v>67</v>
      </c>
      <c r="D94" s="158"/>
      <c r="E94" s="51">
        <v>0.01</v>
      </c>
      <c r="F94" s="22">
        <f>E94*E9</f>
        <v>277.5</v>
      </c>
    </row>
    <row r="95" spans="1:6" s="1" customFormat="1" ht="12.75" customHeight="1" x14ac:dyDescent="0.2">
      <c r="A95" s="30" t="s">
        <v>71</v>
      </c>
      <c r="B95" s="30"/>
      <c r="C95" s="158" t="s">
        <v>68</v>
      </c>
      <c r="D95" s="158"/>
      <c r="E95" s="52">
        <v>750</v>
      </c>
      <c r="F95" s="22">
        <f>E95*E$8</f>
        <v>2812.5</v>
      </c>
    </row>
    <row r="96" spans="1:6" s="1" customFormat="1" ht="12.75" customHeight="1" x14ac:dyDescent="0.2">
      <c r="A96" s="30" t="s">
        <v>77</v>
      </c>
      <c r="B96" s="30"/>
      <c r="C96" s="158" t="s">
        <v>68</v>
      </c>
      <c r="D96" s="158"/>
      <c r="E96" s="52">
        <v>1000</v>
      </c>
      <c r="F96" s="22">
        <f>E96*E$8</f>
        <v>3750</v>
      </c>
    </row>
    <row r="97" spans="1:6" s="1" customFormat="1" ht="12.75" customHeight="1" x14ac:dyDescent="0.2">
      <c r="A97" s="105"/>
      <c r="B97" s="105"/>
      <c r="C97" s="108"/>
      <c r="D97" s="108"/>
      <c r="E97" s="52"/>
      <c r="F97" s="22"/>
    </row>
    <row r="98" spans="1:6" s="1" customFormat="1" ht="12.75" customHeight="1" x14ac:dyDescent="0.2">
      <c r="A98" s="105"/>
      <c r="B98" s="105"/>
      <c r="C98" s="108"/>
      <c r="D98" s="108"/>
      <c r="E98" s="52"/>
      <c r="F98" s="22"/>
    </row>
    <row r="99" spans="1:6" s="1" customFormat="1" ht="12.75" customHeight="1" x14ac:dyDescent="0.2">
      <c r="A99" s="105"/>
      <c r="B99" s="105"/>
      <c r="C99" s="108"/>
      <c r="D99" s="108"/>
      <c r="E99" s="52"/>
      <c r="F99" s="22"/>
    </row>
    <row r="100" spans="1:6" s="1" customFormat="1" ht="12.75" customHeight="1" x14ac:dyDescent="0.2">
      <c r="A100" s="31" t="s">
        <v>8</v>
      </c>
      <c r="B100" s="31"/>
      <c r="C100" s="31"/>
      <c r="D100" s="35"/>
      <c r="E100" s="23"/>
      <c r="F100" s="24">
        <f>SUM(F93:F99)</f>
        <v>7395</v>
      </c>
    </row>
    <row r="101" spans="1:6" s="1" customFormat="1" ht="12.75" customHeight="1" x14ac:dyDescent="0.2">
      <c r="A101" s="2"/>
      <c r="B101" s="2"/>
      <c r="C101" s="2"/>
      <c r="D101" s="159"/>
      <c r="E101" s="159"/>
      <c r="F101" s="159"/>
    </row>
    <row r="102" spans="1:6" s="1" customFormat="1" ht="12.75" customHeight="1" x14ac:dyDescent="0.2">
      <c r="A102" s="30" t="s">
        <v>9</v>
      </c>
      <c r="B102" s="30"/>
      <c r="C102" s="30"/>
      <c r="D102" s="35"/>
      <c r="E102" s="25"/>
      <c r="F102" s="22">
        <f>SUM(F100,F90)</f>
        <v>24305.34575</v>
      </c>
    </row>
    <row r="103" spans="1:6" s="1" customFormat="1" ht="12.75" customHeight="1" x14ac:dyDescent="0.2">
      <c r="A103" s="30" t="s">
        <v>10</v>
      </c>
      <c r="B103" s="30"/>
      <c r="C103" s="30"/>
      <c r="D103" s="35"/>
      <c r="E103" s="25"/>
      <c r="F103" s="53">
        <v>250</v>
      </c>
    </row>
    <row r="104" spans="1:6" s="1" customFormat="1" ht="12.75" customHeight="1" x14ac:dyDescent="0.2">
      <c r="A104" s="30" t="s">
        <v>11</v>
      </c>
      <c r="B104" s="30"/>
      <c r="C104" s="30"/>
      <c r="D104" s="35"/>
      <c r="E104" s="25"/>
      <c r="F104" s="53">
        <v>350</v>
      </c>
    </row>
    <row r="105" spans="1:6" s="1" customFormat="1" ht="12.75" customHeight="1" x14ac:dyDescent="0.2">
      <c r="A105" s="31" t="s">
        <v>12</v>
      </c>
      <c r="B105" s="31"/>
      <c r="C105" s="31"/>
      <c r="D105" s="35"/>
      <c r="E105" s="23"/>
      <c r="F105" s="24">
        <f>SUM(F102:F104)</f>
        <v>24905.34575</v>
      </c>
    </row>
    <row r="106" spans="1:6" s="1" customFormat="1" ht="12.75" customHeight="1" thickBot="1" x14ac:dyDescent="0.25"/>
    <row r="107" spans="1:6" s="1" customFormat="1" ht="12.75" customHeight="1" thickBot="1" x14ac:dyDescent="0.25">
      <c r="A107" s="141" t="s">
        <v>80</v>
      </c>
      <c r="B107" s="142"/>
      <c r="C107" s="142"/>
      <c r="D107" s="142"/>
      <c r="E107" s="142"/>
      <c r="F107" s="143"/>
    </row>
    <row r="108" spans="1:6" s="1" customFormat="1" ht="12.75" customHeight="1" x14ac:dyDescent="0.2">
      <c r="A108" s="34"/>
      <c r="B108" s="34"/>
      <c r="C108" s="144" t="s">
        <v>78</v>
      </c>
      <c r="D108" s="160"/>
      <c r="E108" s="144" t="s">
        <v>79</v>
      </c>
      <c r="F108" s="144"/>
    </row>
    <row r="109" spans="1:6" s="1" customFormat="1" ht="12.75" customHeight="1" x14ac:dyDescent="0.2">
      <c r="A109" s="20" t="s">
        <v>13</v>
      </c>
      <c r="B109" s="18"/>
      <c r="C109" s="16">
        <f>E14-F102+F96</f>
        <v>4273.5042499999981</v>
      </c>
      <c r="D109" s="19">
        <f>(E14-F102+F96)/E7</f>
        <v>244.8999570200572</v>
      </c>
      <c r="E109" s="16">
        <f>E14-F102</f>
        <v>523.50424999999814</v>
      </c>
      <c r="F109" s="17">
        <f>(E14-F102)/E7</f>
        <v>30.000243553008492</v>
      </c>
    </row>
    <row r="110" spans="1:6" s="1" customFormat="1" ht="12.75" customHeight="1" x14ac:dyDescent="0.2">
      <c r="A110" s="20" t="s">
        <v>14</v>
      </c>
      <c r="B110" s="18" t="s">
        <v>118</v>
      </c>
      <c r="C110" s="16">
        <f>E14-F105+F96</f>
        <v>3673.5042499999981</v>
      </c>
      <c r="D110" s="19">
        <f>(E14-F105+F96)/E7</f>
        <v>210.51600286532943</v>
      </c>
      <c r="E110" s="16">
        <f>E14-F105</f>
        <v>-76.495750000001863</v>
      </c>
      <c r="F110" s="17">
        <f>(E14-F105)/E7</f>
        <v>-4.3837106017193044</v>
      </c>
    </row>
    <row r="111" spans="1:6" s="1" customFormat="1" ht="12.75" customHeight="1" x14ac:dyDescent="0.2">
      <c r="A111" s="20" t="s">
        <v>15</v>
      </c>
      <c r="B111" s="18"/>
      <c r="C111" s="161">
        <f>C110/(F105-F96)</f>
        <v>0.1736442549042243</v>
      </c>
      <c r="D111" s="162"/>
      <c r="E111" s="163">
        <f>E110/F105</f>
        <v>-3.0714590661726454E-3</v>
      </c>
      <c r="F111" s="164"/>
    </row>
    <row r="112" spans="1:6" s="1" customFormat="1" ht="12.75" customHeight="1" x14ac:dyDescent="0.2">
      <c r="A112" s="20" t="s">
        <v>16</v>
      </c>
      <c r="B112" s="18"/>
      <c r="C112" s="165">
        <f>(F105-F96)/E15</f>
        <v>6305.147380970122</v>
      </c>
      <c r="D112" s="166"/>
      <c r="E112" s="167">
        <f>F105/E15</f>
        <v>7422.7988227404821</v>
      </c>
      <c r="F112" s="165"/>
    </row>
    <row r="113" spans="1:1" s="1" customFormat="1" ht="12.75" customHeight="1" x14ac:dyDescent="0.2">
      <c r="A113" s="1" t="s">
        <v>122</v>
      </c>
    </row>
    <row r="114" spans="1:1" s="1" customFormat="1" ht="12.75" customHeight="1" x14ac:dyDescent="0.2">
      <c r="A114" s="1" t="s">
        <v>123</v>
      </c>
    </row>
  </sheetData>
  <sheetProtection sheet="1" objects="1" scenarios="1"/>
  <mergeCells count="88">
    <mergeCell ref="C108:D108"/>
    <mergeCell ref="E108:F108"/>
    <mergeCell ref="C111:D111"/>
    <mergeCell ref="E111:F111"/>
    <mergeCell ref="C112:D112"/>
    <mergeCell ref="E112:F112"/>
    <mergeCell ref="A107:F107"/>
    <mergeCell ref="C92:D92"/>
    <mergeCell ref="C93:D93"/>
    <mergeCell ref="C94:D94"/>
    <mergeCell ref="C95:D95"/>
    <mergeCell ref="C96:D96"/>
    <mergeCell ref="A97:B97"/>
    <mergeCell ref="C97:D97"/>
    <mergeCell ref="A98:B98"/>
    <mergeCell ref="C98:D98"/>
    <mergeCell ref="A99:B99"/>
    <mergeCell ref="C99:D99"/>
    <mergeCell ref="D101:F101"/>
    <mergeCell ref="A91:D91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75:B75"/>
    <mergeCell ref="A51:B51"/>
    <mergeCell ref="A52:B52"/>
    <mergeCell ref="A53:B53"/>
    <mergeCell ref="A54:B54"/>
    <mergeCell ref="A55:B55"/>
    <mergeCell ref="A57:B57"/>
    <mergeCell ref="A66:B66"/>
    <mergeCell ref="A67:B67"/>
    <mergeCell ref="A68:B68"/>
    <mergeCell ref="A70:B70"/>
    <mergeCell ref="A74:B74"/>
    <mergeCell ref="A50:B50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48:B48"/>
    <mergeCell ref="A49:B49"/>
    <mergeCell ref="A37:B37"/>
    <mergeCell ref="A15:C15"/>
    <mergeCell ref="E15:F15"/>
    <mergeCell ref="A16:C16"/>
    <mergeCell ref="A17:F17"/>
    <mergeCell ref="D18:F19"/>
    <mergeCell ref="A29:B29"/>
    <mergeCell ref="A30:B30"/>
    <mergeCell ref="A31:B31"/>
    <mergeCell ref="A32:B32"/>
    <mergeCell ref="A35:B35"/>
    <mergeCell ref="A12:C12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F3"/>
    <mergeCell ref="A4:C4"/>
    <mergeCell ref="E4:F4"/>
  </mergeCells>
  <pageMargins left="1.1023622047244095" right="0.31496062992125984" top="0.74803149606299213" bottom="0.98425196850393704" header="0.31496062992125984" footer="0.31496062992125984"/>
  <pageSetup paperSize="9" fitToHeight="0" orientation="portrait" horizontalDpi="4294967293" verticalDpi="4294967293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zoomScale="130" zoomScaleNormal="130" zoomScalePageLayoutView="140" workbookViewId="0">
      <selection sqref="A1:F1"/>
    </sheetView>
  </sheetViews>
  <sheetFormatPr baseColWidth="10" defaultColWidth="9.140625" defaultRowHeight="12.75" customHeight="1" x14ac:dyDescent="0.2"/>
  <cols>
    <col min="1" max="2" width="15.7109375" style="1" customWidth="1"/>
    <col min="3" max="6" width="13.7109375" style="1" customWidth="1"/>
    <col min="7" max="8" width="9.28515625" style="1" customWidth="1"/>
    <col min="9" max="16384" width="9.140625" style="4"/>
  </cols>
  <sheetData>
    <row r="1" spans="1:6" s="1" customFormat="1" ht="12.75" customHeight="1" x14ac:dyDescent="0.2">
      <c r="A1" s="140" t="s">
        <v>119</v>
      </c>
      <c r="B1" s="140"/>
      <c r="C1" s="140"/>
      <c r="D1" s="140"/>
      <c r="E1" s="140"/>
      <c r="F1" s="140"/>
    </row>
    <row r="2" spans="1:6" s="1" customFormat="1" ht="12.75" customHeight="1" thickBot="1" x14ac:dyDescent="0.25">
      <c r="A2" s="168"/>
      <c r="B2" s="168"/>
      <c r="C2" s="168"/>
      <c r="D2" s="168"/>
      <c r="E2" s="168"/>
      <c r="F2" s="168"/>
    </row>
    <row r="3" spans="1:6" s="1" customFormat="1" ht="12.75" customHeight="1" thickBot="1" x14ac:dyDescent="0.25">
      <c r="A3" s="141" t="s">
        <v>1</v>
      </c>
      <c r="B3" s="142"/>
      <c r="C3" s="142"/>
      <c r="D3" s="142"/>
      <c r="E3" s="142"/>
      <c r="F3" s="143"/>
    </row>
    <row r="4" spans="1:6" s="1" customFormat="1" ht="12.75" customHeight="1" x14ac:dyDescent="0.2">
      <c r="A4" s="144" t="s">
        <v>32</v>
      </c>
      <c r="B4" s="144"/>
      <c r="C4" s="144"/>
      <c r="D4" s="34" t="s">
        <v>33</v>
      </c>
      <c r="E4" s="144" t="s">
        <v>34</v>
      </c>
      <c r="F4" s="144"/>
    </row>
    <row r="5" spans="1:6" s="1" customFormat="1" ht="12.75" customHeight="1" x14ac:dyDescent="0.2">
      <c r="A5" s="139" t="s">
        <v>22</v>
      </c>
      <c r="B5" s="139"/>
      <c r="C5" s="139"/>
      <c r="D5" s="27" t="s">
        <v>17</v>
      </c>
      <c r="E5" s="133">
        <v>7400</v>
      </c>
      <c r="F5" s="133"/>
    </row>
    <row r="6" spans="1:6" s="1" customFormat="1" ht="12.75" customHeight="1" x14ac:dyDescent="0.2">
      <c r="A6" s="139" t="s">
        <v>24</v>
      </c>
      <c r="B6" s="139"/>
      <c r="C6" s="139"/>
      <c r="D6" s="27" t="s">
        <v>18</v>
      </c>
      <c r="E6" s="145">
        <f>E8/E7</f>
        <v>0.21489971346704873</v>
      </c>
      <c r="F6" s="145"/>
    </row>
    <row r="7" spans="1:6" s="1" customFormat="1" ht="12.75" customHeight="1" x14ac:dyDescent="0.2">
      <c r="A7" s="139" t="s">
        <v>23</v>
      </c>
      <c r="B7" s="139"/>
      <c r="C7" s="139"/>
      <c r="D7" s="27" t="s">
        <v>19</v>
      </c>
      <c r="E7" s="135">
        <v>17.45</v>
      </c>
      <c r="F7" s="135"/>
    </row>
    <row r="8" spans="1:6" s="1" customFormat="1" ht="12.75" customHeight="1" x14ac:dyDescent="0.2">
      <c r="A8" s="139" t="s">
        <v>25</v>
      </c>
      <c r="B8" s="139"/>
      <c r="C8" s="139"/>
      <c r="D8" s="27" t="s">
        <v>20</v>
      </c>
      <c r="E8" s="138">
        <v>3.75</v>
      </c>
      <c r="F8" s="138"/>
    </row>
    <row r="9" spans="1:6" s="1" customFormat="1" ht="12.75" customHeight="1" x14ac:dyDescent="0.2">
      <c r="A9" s="139" t="s">
        <v>26</v>
      </c>
      <c r="B9" s="139"/>
      <c r="C9" s="139"/>
      <c r="D9" s="27" t="s">
        <v>21</v>
      </c>
      <c r="E9" s="146">
        <f>E5*E8</f>
        <v>27750</v>
      </c>
      <c r="F9" s="146"/>
    </row>
    <row r="10" spans="1:6" s="1" customFormat="1" ht="12.75" customHeight="1" x14ac:dyDescent="0.2">
      <c r="A10" s="139" t="s">
        <v>31</v>
      </c>
      <c r="B10" s="139"/>
      <c r="C10" s="139"/>
      <c r="D10" s="27" t="s">
        <v>30</v>
      </c>
      <c r="E10" s="132">
        <v>6.5000000000000002E-2</v>
      </c>
      <c r="F10" s="132"/>
    </row>
    <row r="11" spans="1:6" s="1" customFormat="1" ht="12.75" customHeight="1" x14ac:dyDescent="0.2">
      <c r="A11" s="139" t="s">
        <v>31</v>
      </c>
      <c r="B11" s="139"/>
      <c r="C11" s="139"/>
      <c r="D11" s="27" t="s">
        <v>21</v>
      </c>
      <c r="E11" s="146">
        <f>E9*E10</f>
        <v>1803.75</v>
      </c>
      <c r="F11" s="146"/>
    </row>
    <row r="12" spans="1:6" s="1" customFormat="1" ht="12.75" customHeight="1" x14ac:dyDescent="0.2">
      <c r="A12" s="139" t="s">
        <v>105</v>
      </c>
      <c r="B12" s="139"/>
      <c r="C12" s="139"/>
      <c r="D12" s="27" t="s">
        <v>29</v>
      </c>
      <c r="E12" s="131">
        <v>204.24</v>
      </c>
      <c r="F12" s="131"/>
    </row>
    <row r="13" spans="1:6" s="1" customFormat="1" ht="12.75" customHeight="1" x14ac:dyDescent="0.2">
      <c r="A13" s="139" t="s">
        <v>106</v>
      </c>
      <c r="B13" s="139"/>
      <c r="C13" s="139"/>
      <c r="D13" s="27" t="s">
        <v>21</v>
      </c>
      <c r="E13" s="146">
        <f>E5/1000*E12</f>
        <v>1511.3760000000002</v>
      </c>
      <c r="F13" s="146"/>
    </row>
    <row r="14" spans="1:6" s="5" customFormat="1" ht="12.75" customHeight="1" x14ac:dyDescent="0.2">
      <c r="A14" s="147" t="s">
        <v>27</v>
      </c>
      <c r="B14" s="147"/>
      <c r="C14" s="147"/>
      <c r="D14" s="28" t="s">
        <v>21</v>
      </c>
      <c r="E14" s="148">
        <f>E9-E11-E13</f>
        <v>24434.874</v>
      </c>
      <c r="F14" s="148"/>
    </row>
    <row r="15" spans="1:6" s="1" customFormat="1" ht="12.75" customHeight="1" x14ac:dyDescent="0.2">
      <c r="A15" s="150" t="s">
        <v>28</v>
      </c>
      <c r="B15" s="150"/>
      <c r="C15" s="150"/>
      <c r="D15" s="27" t="s">
        <v>20</v>
      </c>
      <c r="E15" s="151">
        <f>E14/E5</f>
        <v>3.3020100000000001</v>
      </c>
      <c r="F15" s="151"/>
    </row>
    <row r="16" spans="1:6" s="1" customFormat="1" ht="12.75" customHeight="1" thickBot="1" x14ac:dyDescent="0.25">
      <c r="A16" s="152"/>
      <c r="B16" s="152"/>
      <c r="C16" s="152"/>
    </row>
    <row r="17" spans="1:6" s="1" customFormat="1" ht="12.75" customHeight="1" thickBot="1" x14ac:dyDescent="0.25">
      <c r="A17" s="141" t="s">
        <v>2</v>
      </c>
      <c r="B17" s="142"/>
      <c r="C17" s="142"/>
      <c r="D17" s="142"/>
      <c r="E17" s="142"/>
      <c r="F17" s="143"/>
    </row>
    <row r="18" spans="1:6" s="1" customFormat="1" ht="12.75" customHeight="1" x14ac:dyDescent="0.2">
      <c r="A18" s="34" t="s">
        <v>32</v>
      </c>
      <c r="B18" s="34" t="s">
        <v>33</v>
      </c>
      <c r="C18" s="34" t="s">
        <v>65</v>
      </c>
      <c r="D18" s="153" t="s">
        <v>104</v>
      </c>
      <c r="E18" s="153"/>
      <c r="F18" s="153"/>
    </row>
    <row r="19" spans="1:6" s="1" customFormat="1" ht="12.75" customHeight="1" x14ac:dyDescent="0.2">
      <c r="A19" s="6" t="s">
        <v>44</v>
      </c>
      <c r="B19" s="27" t="s">
        <v>21</v>
      </c>
      <c r="C19" s="37">
        <v>600</v>
      </c>
      <c r="D19" s="154"/>
      <c r="E19" s="154"/>
      <c r="F19" s="154"/>
    </row>
    <row r="20" spans="1:6" s="1" customFormat="1" ht="12.75" customHeight="1" x14ac:dyDescent="0.2">
      <c r="A20" s="32" t="s">
        <v>35</v>
      </c>
      <c r="B20" s="32"/>
      <c r="C20" s="36" t="s">
        <v>39</v>
      </c>
      <c r="D20" s="32" t="s">
        <v>102</v>
      </c>
      <c r="E20" s="36" t="s">
        <v>103</v>
      </c>
      <c r="F20" s="32" t="s">
        <v>36</v>
      </c>
    </row>
    <row r="21" spans="1:6" s="1" customFormat="1" ht="12.75" customHeight="1" x14ac:dyDescent="0.2">
      <c r="A21" s="30" t="s">
        <v>40</v>
      </c>
      <c r="B21" s="30"/>
      <c r="C21" s="39">
        <v>1</v>
      </c>
      <c r="D21" s="40">
        <v>1.5</v>
      </c>
      <c r="E21" s="41">
        <v>0</v>
      </c>
      <c r="F21" s="11">
        <f t="shared" ref="F21:F33" si="0">C21*D21*$C$19 +C21*E21</f>
        <v>900</v>
      </c>
    </row>
    <row r="22" spans="1:6" s="1" customFormat="1" ht="12.75" customHeight="1" x14ac:dyDescent="0.2">
      <c r="A22" s="30" t="s">
        <v>41</v>
      </c>
      <c r="B22" s="30"/>
      <c r="C22" s="39">
        <v>1</v>
      </c>
      <c r="D22" s="40">
        <v>1</v>
      </c>
      <c r="E22" s="41">
        <v>0</v>
      </c>
      <c r="F22" s="11">
        <f t="shared" si="0"/>
        <v>600</v>
      </c>
    </row>
    <row r="23" spans="1:6" s="1" customFormat="1" ht="12.75" customHeight="1" x14ac:dyDescent="0.2">
      <c r="A23" s="30" t="s">
        <v>107</v>
      </c>
      <c r="B23" s="30"/>
      <c r="C23" s="39">
        <v>1</v>
      </c>
      <c r="D23" s="40">
        <v>0.5</v>
      </c>
      <c r="E23" s="41">
        <v>0</v>
      </c>
      <c r="F23" s="11">
        <f t="shared" si="0"/>
        <v>300</v>
      </c>
    </row>
    <row r="24" spans="1:6" s="1" customFormat="1" ht="12.75" customHeight="1" x14ac:dyDescent="0.2">
      <c r="A24" s="30" t="s">
        <v>108</v>
      </c>
      <c r="B24" s="30"/>
      <c r="C24" s="39">
        <v>1</v>
      </c>
      <c r="D24" s="40">
        <v>0.5</v>
      </c>
      <c r="E24" s="41">
        <v>0</v>
      </c>
      <c r="F24" s="11">
        <f t="shared" si="0"/>
        <v>300</v>
      </c>
    </row>
    <row r="25" spans="1:6" s="1" customFormat="1" ht="12.75" customHeight="1" x14ac:dyDescent="0.2">
      <c r="A25" s="30" t="s">
        <v>37</v>
      </c>
      <c r="B25" s="30"/>
      <c r="C25" s="39">
        <v>1</v>
      </c>
      <c r="D25" s="40">
        <v>1</v>
      </c>
      <c r="E25" s="41">
        <v>0</v>
      </c>
      <c r="F25" s="11">
        <f t="shared" si="0"/>
        <v>600</v>
      </c>
    </row>
    <row r="26" spans="1:6" s="1" customFormat="1" ht="12.75" customHeight="1" x14ac:dyDescent="0.2">
      <c r="A26" s="30" t="s">
        <v>38</v>
      </c>
      <c r="B26" s="30"/>
      <c r="C26" s="39">
        <v>1</v>
      </c>
      <c r="D26" s="40">
        <v>0.5</v>
      </c>
      <c r="E26" s="41">
        <v>0</v>
      </c>
      <c r="F26" s="11">
        <f t="shared" si="0"/>
        <v>300</v>
      </c>
    </row>
    <row r="27" spans="1:6" s="1" customFormat="1" ht="12.75" customHeight="1" x14ac:dyDescent="0.2">
      <c r="A27" s="30" t="s">
        <v>43</v>
      </c>
      <c r="B27" s="30"/>
      <c r="C27" s="39">
        <v>2</v>
      </c>
      <c r="D27" s="40">
        <v>0.25</v>
      </c>
      <c r="E27" s="41">
        <v>0</v>
      </c>
      <c r="F27" s="11">
        <f t="shared" si="0"/>
        <v>300</v>
      </c>
    </row>
    <row r="28" spans="1:6" s="1" customFormat="1" ht="12.75" customHeight="1" x14ac:dyDescent="0.2">
      <c r="A28" s="30" t="s">
        <v>42</v>
      </c>
      <c r="B28" s="30"/>
      <c r="C28" s="39">
        <v>1</v>
      </c>
      <c r="D28" s="40">
        <f>[1]Cantidad!S21</f>
        <v>0.5</v>
      </c>
      <c r="E28" s="41">
        <v>0</v>
      </c>
      <c r="F28" s="11">
        <f t="shared" si="0"/>
        <v>300</v>
      </c>
    </row>
    <row r="29" spans="1:6" s="1" customFormat="1" ht="12.75" customHeight="1" x14ac:dyDescent="0.2">
      <c r="A29" s="139" t="s">
        <v>59</v>
      </c>
      <c r="B29" s="139"/>
      <c r="C29" s="39">
        <v>1</v>
      </c>
      <c r="D29" s="42"/>
      <c r="E29" s="43">
        <v>144</v>
      </c>
      <c r="F29" s="11">
        <f t="shared" si="0"/>
        <v>144</v>
      </c>
    </row>
    <row r="30" spans="1:6" s="1" customFormat="1" ht="12.75" customHeight="1" x14ac:dyDescent="0.2">
      <c r="A30" s="139" t="s">
        <v>87</v>
      </c>
      <c r="B30" s="139"/>
      <c r="C30" s="39">
        <v>1</v>
      </c>
      <c r="D30" s="42"/>
      <c r="E30" s="43">
        <v>144</v>
      </c>
      <c r="F30" s="11">
        <f>C30*D30*$C$19 +C30*E30</f>
        <v>144</v>
      </c>
    </row>
    <row r="31" spans="1:6" s="1" customFormat="1" ht="12.75" customHeight="1" x14ac:dyDescent="0.2">
      <c r="A31" s="105"/>
      <c r="B31" s="105"/>
      <c r="C31" s="40"/>
      <c r="D31" s="39"/>
      <c r="E31" s="41">
        <v>0</v>
      </c>
      <c r="F31" s="11">
        <f>C31*D31*$C$19 +C31*E31</f>
        <v>0</v>
      </c>
    </row>
    <row r="32" spans="1:6" s="1" customFormat="1" ht="12.75" customHeight="1" x14ac:dyDescent="0.2">
      <c r="A32" s="105"/>
      <c r="B32" s="105"/>
      <c r="C32" s="40"/>
      <c r="D32" s="39"/>
      <c r="E32" s="41">
        <v>0</v>
      </c>
      <c r="F32" s="11">
        <f t="shared" si="0"/>
        <v>0</v>
      </c>
    </row>
    <row r="33" spans="1:6" s="1" customFormat="1" ht="12.75" customHeight="1" x14ac:dyDescent="0.2">
      <c r="A33" s="105"/>
      <c r="B33" s="105"/>
      <c r="C33" s="40"/>
      <c r="D33" s="39"/>
      <c r="E33" s="41">
        <v>0</v>
      </c>
      <c r="F33" s="11">
        <f t="shared" si="0"/>
        <v>0</v>
      </c>
    </row>
    <row r="34" spans="1:6" s="5" customFormat="1" ht="12.75" customHeight="1" x14ac:dyDescent="0.2">
      <c r="A34" s="31" t="s">
        <v>72</v>
      </c>
      <c r="B34" s="31"/>
      <c r="C34" s="26"/>
      <c r="D34" s="31"/>
      <c r="E34" s="26"/>
      <c r="F34" s="12">
        <f>SUM(F21:F33)</f>
        <v>3888</v>
      </c>
    </row>
    <row r="35" spans="1:6" ht="12.75" customHeight="1" x14ac:dyDescent="0.2">
      <c r="A35" s="35"/>
      <c r="B35" s="35"/>
      <c r="C35" s="35"/>
      <c r="D35" s="35"/>
      <c r="E35" s="35"/>
      <c r="F35" s="35"/>
    </row>
    <row r="36" spans="1:6" s="1" customFormat="1" ht="12.75" customHeight="1" x14ac:dyDescent="0.2">
      <c r="A36" s="149" t="s">
        <v>3</v>
      </c>
      <c r="B36" s="149"/>
      <c r="C36" s="36" t="s">
        <v>33</v>
      </c>
      <c r="D36" s="32" t="s">
        <v>83</v>
      </c>
      <c r="E36" s="32" t="s">
        <v>66</v>
      </c>
      <c r="F36" s="32" t="s">
        <v>36</v>
      </c>
    </row>
    <row r="37" spans="1:6" s="1" customFormat="1" ht="12.75" customHeight="1" x14ac:dyDescent="0.2">
      <c r="A37" s="30" t="s">
        <v>45</v>
      </c>
      <c r="B37" s="30"/>
      <c r="C37" s="27" t="s">
        <v>84</v>
      </c>
      <c r="D37" s="42">
        <v>130</v>
      </c>
      <c r="E37" s="44">
        <v>5.25</v>
      </c>
      <c r="F37" s="13">
        <f>D37*E37</f>
        <v>682.5</v>
      </c>
    </row>
    <row r="38" spans="1:6" s="1" customFormat="1" ht="12.75" customHeight="1" x14ac:dyDescent="0.2">
      <c r="A38" s="149" t="s">
        <v>109</v>
      </c>
      <c r="B38" s="149"/>
      <c r="C38" s="27"/>
      <c r="D38" s="32" t="s">
        <v>46</v>
      </c>
      <c r="E38" s="32" t="s">
        <v>66</v>
      </c>
      <c r="F38" s="32" t="s">
        <v>36</v>
      </c>
    </row>
    <row r="39" spans="1:6" s="1" customFormat="1" ht="12.75" customHeight="1" x14ac:dyDescent="0.2">
      <c r="A39" s="139" t="s">
        <v>110</v>
      </c>
      <c r="B39" s="139"/>
      <c r="C39" s="27" t="s">
        <v>85</v>
      </c>
      <c r="D39" s="42">
        <f>0.25*130/100</f>
        <v>0.32500000000000001</v>
      </c>
      <c r="E39" s="43">
        <f>9*E7</f>
        <v>157.04999999999998</v>
      </c>
      <c r="F39" s="13">
        <f t="shared" ref="F39:F42" si="1">D39*E39</f>
        <v>51.041249999999998</v>
      </c>
    </row>
    <row r="40" spans="1:6" s="1" customFormat="1" ht="12.75" customHeight="1" x14ac:dyDescent="0.2">
      <c r="A40" s="139" t="s">
        <v>111</v>
      </c>
      <c r="B40" s="139"/>
      <c r="C40" s="27" t="s">
        <v>85</v>
      </c>
      <c r="D40" s="42">
        <f>0.3*130/100</f>
        <v>0.39</v>
      </c>
      <c r="E40" s="43">
        <f>15*E7</f>
        <v>261.75</v>
      </c>
      <c r="F40" s="13">
        <f t="shared" si="1"/>
        <v>102.08250000000001</v>
      </c>
    </row>
    <row r="41" spans="1:6" s="1" customFormat="1" ht="12.75" customHeight="1" x14ac:dyDescent="0.2">
      <c r="A41" s="105"/>
      <c r="B41" s="105"/>
      <c r="C41" s="45"/>
      <c r="D41" s="46"/>
      <c r="E41" s="47"/>
      <c r="F41" s="13">
        <f t="shared" si="1"/>
        <v>0</v>
      </c>
    </row>
    <row r="42" spans="1:6" s="1" customFormat="1" ht="12.75" customHeight="1" x14ac:dyDescent="0.2">
      <c r="A42" s="105"/>
      <c r="B42" s="105"/>
      <c r="C42" s="45"/>
      <c r="D42" s="46"/>
      <c r="E42" s="47"/>
      <c r="F42" s="13">
        <f t="shared" si="1"/>
        <v>0</v>
      </c>
    </row>
    <row r="43" spans="1:6" s="5" customFormat="1" ht="12.75" customHeight="1" x14ac:dyDescent="0.2">
      <c r="A43" s="31" t="s">
        <v>112</v>
      </c>
      <c r="B43" s="31"/>
      <c r="C43" s="28"/>
      <c r="D43" s="7"/>
      <c r="E43" s="8"/>
      <c r="F43" s="14">
        <f>SUM(F39:F42)</f>
        <v>153.12375</v>
      </c>
    </row>
    <row r="44" spans="1:6" s="1" customFormat="1" ht="12.75" customHeight="1" x14ac:dyDescent="0.2">
      <c r="A44" s="149" t="s">
        <v>74</v>
      </c>
      <c r="B44" s="149"/>
      <c r="C44" s="27"/>
      <c r="D44" s="32" t="s">
        <v>46</v>
      </c>
      <c r="E44" s="32" t="s">
        <v>66</v>
      </c>
      <c r="F44" s="32" t="s">
        <v>36</v>
      </c>
    </row>
    <row r="45" spans="1:6" s="1" customFormat="1" ht="12.75" customHeight="1" x14ac:dyDescent="0.2">
      <c r="A45" s="155" t="s">
        <v>90</v>
      </c>
      <c r="B45" s="155"/>
      <c r="C45" s="27" t="s">
        <v>85</v>
      </c>
      <c r="D45" s="42"/>
      <c r="E45" s="43">
        <v>3773</v>
      </c>
      <c r="F45" s="13">
        <f t="shared" ref="F45:F56" si="2">D45*E45</f>
        <v>0</v>
      </c>
    </row>
    <row r="46" spans="1:6" s="1" customFormat="1" ht="12.75" customHeight="1" x14ac:dyDescent="0.2">
      <c r="A46" s="139" t="s">
        <v>91</v>
      </c>
      <c r="B46" s="139"/>
      <c r="C46" s="27" t="s">
        <v>85</v>
      </c>
      <c r="D46" s="46"/>
      <c r="E46" s="43">
        <v>821</v>
      </c>
      <c r="F46" s="13">
        <f t="shared" si="2"/>
        <v>0</v>
      </c>
    </row>
    <row r="47" spans="1:6" s="1" customFormat="1" ht="12.75" customHeight="1" x14ac:dyDescent="0.2">
      <c r="A47" s="139" t="s">
        <v>92</v>
      </c>
      <c r="B47" s="139"/>
      <c r="C47" s="27" t="s">
        <v>85</v>
      </c>
      <c r="D47" s="46"/>
      <c r="E47" s="43">
        <v>403.2</v>
      </c>
      <c r="F47" s="13">
        <f t="shared" si="2"/>
        <v>0</v>
      </c>
    </row>
    <row r="48" spans="1:6" s="1" customFormat="1" ht="12.75" customHeight="1" x14ac:dyDescent="0.2">
      <c r="A48" s="139" t="s">
        <v>93</v>
      </c>
      <c r="B48" s="139"/>
      <c r="C48" s="27" t="s">
        <v>85</v>
      </c>
      <c r="D48" s="46">
        <f>[1]Cantidad!S9</f>
        <v>4</v>
      </c>
      <c r="E48" s="43">
        <f>4*E7</f>
        <v>69.8</v>
      </c>
      <c r="F48" s="13">
        <f t="shared" si="2"/>
        <v>279.2</v>
      </c>
    </row>
    <row r="49" spans="1:6" s="1" customFormat="1" ht="12.75" customHeight="1" x14ac:dyDescent="0.2">
      <c r="A49" s="139" t="s">
        <v>94</v>
      </c>
      <c r="B49" s="139"/>
      <c r="C49" s="27" t="s">
        <v>84</v>
      </c>
      <c r="D49" s="46">
        <v>0.28000000000000003</v>
      </c>
      <c r="E49" s="43">
        <f>496*E7/2.8</f>
        <v>3091.1428571428569</v>
      </c>
      <c r="F49" s="13">
        <f t="shared" si="2"/>
        <v>865.52</v>
      </c>
    </row>
    <row r="50" spans="1:6" s="1" customFormat="1" ht="12.75" customHeight="1" x14ac:dyDescent="0.2">
      <c r="A50" s="139" t="s">
        <v>95</v>
      </c>
      <c r="B50" s="139"/>
      <c r="C50" s="27" t="s">
        <v>85</v>
      </c>
      <c r="D50" s="46"/>
      <c r="E50" s="43">
        <v>245</v>
      </c>
      <c r="F50" s="13">
        <f t="shared" si="2"/>
        <v>0</v>
      </c>
    </row>
    <row r="51" spans="1:6" s="1" customFormat="1" ht="12.75" customHeight="1" x14ac:dyDescent="0.2">
      <c r="A51" s="139" t="s">
        <v>96</v>
      </c>
      <c r="B51" s="139"/>
      <c r="C51" s="27" t="s">
        <v>85</v>
      </c>
      <c r="D51" s="46"/>
      <c r="E51" s="47"/>
      <c r="F51" s="13">
        <f t="shared" si="2"/>
        <v>0</v>
      </c>
    </row>
    <row r="52" spans="1:6" s="1" customFormat="1" ht="12.75" customHeight="1" x14ac:dyDescent="0.2">
      <c r="A52" s="139" t="s">
        <v>97</v>
      </c>
      <c r="B52" s="139"/>
      <c r="C52" s="27" t="s">
        <v>85</v>
      </c>
      <c r="D52" s="46"/>
      <c r="E52" s="47"/>
      <c r="F52" s="13">
        <f t="shared" si="2"/>
        <v>0</v>
      </c>
    </row>
    <row r="53" spans="1:6" s="1" customFormat="1" ht="12.75" customHeight="1" x14ac:dyDescent="0.2">
      <c r="A53" s="139" t="s">
        <v>98</v>
      </c>
      <c r="B53" s="139"/>
      <c r="C53" s="27" t="s">
        <v>85</v>
      </c>
      <c r="D53" s="46"/>
      <c r="E53" s="47"/>
      <c r="F53" s="13">
        <f t="shared" si="2"/>
        <v>0</v>
      </c>
    </row>
    <row r="54" spans="1:6" s="1" customFormat="1" ht="12.75" customHeight="1" x14ac:dyDescent="0.2">
      <c r="A54" s="105"/>
      <c r="B54" s="105"/>
      <c r="C54" s="45"/>
      <c r="D54" s="46"/>
      <c r="E54" s="47"/>
      <c r="F54" s="13">
        <f t="shared" si="2"/>
        <v>0</v>
      </c>
    </row>
    <row r="55" spans="1:6" s="1" customFormat="1" ht="12.75" customHeight="1" x14ac:dyDescent="0.2">
      <c r="A55" s="105"/>
      <c r="B55" s="105"/>
      <c r="C55" s="45"/>
      <c r="D55" s="46"/>
      <c r="E55" s="47"/>
      <c r="F55" s="13">
        <f t="shared" si="2"/>
        <v>0</v>
      </c>
    </row>
    <row r="56" spans="1:6" s="1" customFormat="1" ht="12.75" customHeight="1" x14ac:dyDescent="0.2">
      <c r="A56" s="105"/>
      <c r="B56" s="105"/>
      <c r="C56" s="45"/>
      <c r="D56" s="46"/>
      <c r="E56" s="47"/>
      <c r="F56" s="13">
        <f t="shared" si="2"/>
        <v>0</v>
      </c>
    </row>
    <row r="57" spans="1:6" s="5" customFormat="1" ht="12.75" customHeight="1" x14ac:dyDescent="0.2">
      <c r="A57" s="31" t="s">
        <v>73</v>
      </c>
      <c r="B57" s="31"/>
      <c r="C57" s="26"/>
      <c r="D57" s="7"/>
      <c r="E57" s="8"/>
      <c r="F57" s="14">
        <f>SUM(F45:F56)</f>
        <v>1144.72</v>
      </c>
    </row>
    <row r="58" spans="1:6" s="1" customFormat="1" ht="12.75" customHeight="1" x14ac:dyDescent="0.2">
      <c r="A58" s="149" t="s">
        <v>75</v>
      </c>
      <c r="B58" s="149"/>
      <c r="C58" s="36" t="s">
        <v>33</v>
      </c>
      <c r="D58" s="32" t="s">
        <v>46</v>
      </c>
      <c r="E58" s="32" t="s">
        <v>66</v>
      </c>
      <c r="F58" s="32" t="s">
        <v>36</v>
      </c>
    </row>
    <row r="59" spans="1:6" s="1" customFormat="1" ht="12.75" customHeight="1" x14ac:dyDescent="0.2">
      <c r="A59" s="30" t="s">
        <v>47</v>
      </c>
      <c r="B59" s="30"/>
      <c r="C59" s="27" t="s">
        <v>85</v>
      </c>
      <c r="D59" s="42">
        <v>4</v>
      </c>
      <c r="E59" s="43">
        <v>86.4</v>
      </c>
      <c r="F59" s="13">
        <f t="shared" ref="F59:F69" si="3">D59*E59</f>
        <v>345.6</v>
      </c>
    </row>
    <row r="60" spans="1:6" s="1" customFormat="1" ht="12.75" customHeight="1" x14ac:dyDescent="0.2">
      <c r="A60" s="30" t="s">
        <v>48</v>
      </c>
      <c r="B60" s="30"/>
      <c r="C60" s="27" t="s">
        <v>84</v>
      </c>
      <c r="D60" s="42">
        <v>120</v>
      </c>
      <c r="E60" s="43">
        <f>403*E7/1000</f>
        <v>7.0323499999999992</v>
      </c>
      <c r="F60" s="13">
        <f t="shared" si="3"/>
        <v>843.88199999999995</v>
      </c>
    </row>
    <row r="61" spans="1:6" s="1" customFormat="1" ht="12.75" customHeight="1" x14ac:dyDescent="0.2">
      <c r="A61" s="30" t="s">
        <v>49</v>
      </c>
      <c r="B61" s="30"/>
      <c r="C61" s="27" t="s">
        <v>84</v>
      </c>
      <c r="D61" s="42"/>
      <c r="E61" s="43">
        <v>7.2</v>
      </c>
      <c r="F61" s="13">
        <f t="shared" si="3"/>
        <v>0</v>
      </c>
    </row>
    <row r="62" spans="1:6" s="1" customFormat="1" ht="12.75" customHeight="1" x14ac:dyDescent="0.2">
      <c r="A62" s="30" t="s">
        <v>50</v>
      </c>
      <c r="B62" s="30"/>
      <c r="C62" s="27" t="s">
        <v>84</v>
      </c>
      <c r="D62" s="42"/>
      <c r="E62" s="43">
        <v>6.8</v>
      </c>
      <c r="F62" s="13">
        <f t="shared" si="3"/>
        <v>0</v>
      </c>
    </row>
    <row r="63" spans="1:6" s="1" customFormat="1" ht="12.75" customHeight="1" x14ac:dyDescent="0.2">
      <c r="A63" s="30" t="s">
        <v>51</v>
      </c>
      <c r="B63" s="30"/>
      <c r="C63" s="27" t="s">
        <v>84</v>
      </c>
      <c r="D63" s="42"/>
      <c r="E63" s="43">
        <v>7.2</v>
      </c>
      <c r="F63" s="13">
        <f t="shared" si="3"/>
        <v>0</v>
      </c>
    </row>
    <row r="64" spans="1:6" s="1" customFormat="1" ht="12.75" customHeight="1" x14ac:dyDescent="0.2">
      <c r="A64" s="30" t="s">
        <v>52</v>
      </c>
      <c r="B64" s="30"/>
      <c r="C64" s="27" t="s">
        <v>84</v>
      </c>
      <c r="D64" s="42"/>
      <c r="E64" s="43">
        <f>0.42*14.4</f>
        <v>6.048</v>
      </c>
      <c r="F64" s="13">
        <f t="shared" si="3"/>
        <v>0</v>
      </c>
    </row>
    <row r="65" spans="1:6" s="1" customFormat="1" ht="12.75" customHeight="1" x14ac:dyDescent="0.2">
      <c r="A65" s="30" t="s">
        <v>53</v>
      </c>
      <c r="B65" s="30"/>
      <c r="C65" s="27" t="s">
        <v>84</v>
      </c>
      <c r="D65" s="42">
        <v>100</v>
      </c>
      <c r="E65" s="43">
        <f>553*E7/1000</f>
        <v>9.6498500000000007</v>
      </c>
      <c r="F65" s="13">
        <f t="shared" si="3"/>
        <v>964.98500000000013</v>
      </c>
    </row>
    <row r="66" spans="1:6" s="1" customFormat="1" ht="12.75" customHeight="1" x14ac:dyDescent="0.2">
      <c r="A66" s="30" t="s">
        <v>54</v>
      </c>
      <c r="B66" s="30"/>
      <c r="C66" s="27" t="s">
        <v>84</v>
      </c>
      <c r="D66" s="42"/>
      <c r="E66" s="43">
        <v>8.1999999999999993</v>
      </c>
      <c r="F66" s="13">
        <f t="shared" si="3"/>
        <v>0</v>
      </c>
    </row>
    <row r="67" spans="1:6" s="1" customFormat="1" ht="12.75" customHeight="1" x14ac:dyDescent="0.2">
      <c r="A67" s="105"/>
      <c r="B67" s="105"/>
      <c r="C67" s="45"/>
      <c r="D67" s="42"/>
      <c r="E67" s="47"/>
      <c r="F67" s="13">
        <f t="shared" si="3"/>
        <v>0</v>
      </c>
    </row>
    <row r="68" spans="1:6" s="1" customFormat="1" ht="12.75" customHeight="1" x14ac:dyDescent="0.2">
      <c r="A68" s="105"/>
      <c r="B68" s="105"/>
      <c r="C68" s="45"/>
      <c r="D68" s="42"/>
      <c r="E68" s="47"/>
      <c r="F68" s="13">
        <f t="shared" si="3"/>
        <v>0</v>
      </c>
    </row>
    <row r="69" spans="1:6" s="1" customFormat="1" ht="12.75" customHeight="1" x14ac:dyDescent="0.2">
      <c r="A69" s="105"/>
      <c r="B69" s="105"/>
      <c r="C69" s="45"/>
      <c r="D69" s="42"/>
      <c r="E69" s="47"/>
      <c r="F69" s="13">
        <f t="shared" si="3"/>
        <v>0</v>
      </c>
    </row>
    <row r="70" spans="1:6" s="5" customFormat="1" ht="12.75" customHeight="1" x14ac:dyDescent="0.2">
      <c r="A70" s="31" t="s">
        <v>76</v>
      </c>
      <c r="B70" s="31"/>
      <c r="C70" s="26"/>
      <c r="D70" s="7"/>
      <c r="E70" s="8"/>
      <c r="F70" s="14">
        <f>SUM(F58:F69)</f>
        <v>2154.4670000000001</v>
      </c>
    </row>
    <row r="71" spans="1:6" s="1" customFormat="1" ht="12.75" customHeight="1" x14ac:dyDescent="0.2">
      <c r="A71" s="149" t="s">
        <v>82</v>
      </c>
      <c r="B71" s="149"/>
      <c r="C71" s="36" t="s">
        <v>33</v>
      </c>
      <c r="D71" s="32" t="s">
        <v>46</v>
      </c>
      <c r="E71" s="32" t="s">
        <v>66</v>
      </c>
      <c r="F71" s="32" t="s">
        <v>36</v>
      </c>
    </row>
    <row r="72" spans="1:6" s="1" customFormat="1" ht="12.75" customHeight="1" x14ac:dyDescent="0.2">
      <c r="A72" s="30" t="s">
        <v>99</v>
      </c>
      <c r="B72" s="30"/>
      <c r="C72" s="27" t="s">
        <v>85</v>
      </c>
      <c r="D72" s="42">
        <v>0.5</v>
      </c>
      <c r="E72" s="43">
        <f>41*E7</f>
        <v>715.44999999999993</v>
      </c>
      <c r="F72" s="13">
        <f t="shared" ref="F72:F76" si="4">D72*E72</f>
        <v>357.72499999999997</v>
      </c>
    </row>
    <row r="73" spans="1:6" s="1" customFormat="1" ht="12.75" customHeight="1" x14ac:dyDescent="0.2">
      <c r="A73" s="21" t="s">
        <v>100</v>
      </c>
      <c r="B73" s="30"/>
      <c r="C73" s="27" t="s">
        <v>85</v>
      </c>
      <c r="D73" s="42"/>
      <c r="E73" s="43"/>
      <c r="F73" s="13">
        <f t="shared" si="4"/>
        <v>0</v>
      </c>
    </row>
    <row r="74" spans="1:6" s="1" customFormat="1" ht="12.75" customHeight="1" x14ac:dyDescent="0.2">
      <c r="A74" s="21" t="s">
        <v>101</v>
      </c>
      <c r="B74" s="30"/>
      <c r="C74" s="27" t="s">
        <v>85</v>
      </c>
      <c r="D74" s="42"/>
      <c r="E74" s="43"/>
      <c r="F74" s="13">
        <f t="shared" si="4"/>
        <v>0</v>
      </c>
    </row>
    <row r="75" spans="1:6" s="1" customFormat="1" ht="12.75" customHeight="1" x14ac:dyDescent="0.2">
      <c r="A75" s="105"/>
      <c r="B75" s="105"/>
      <c r="C75" s="45"/>
      <c r="D75" s="42"/>
      <c r="E75" s="47"/>
      <c r="F75" s="13">
        <f t="shared" si="4"/>
        <v>0</v>
      </c>
    </row>
    <row r="76" spans="1:6" s="1" customFormat="1" ht="12.75" customHeight="1" x14ac:dyDescent="0.2">
      <c r="A76" s="105"/>
      <c r="B76" s="105"/>
      <c r="C76" s="45"/>
      <c r="D76" s="42"/>
      <c r="E76" s="47"/>
      <c r="F76" s="13">
        <f t="shared" si="4"/>
        <v>0</v>
      </c>
    </row>
    <row r="77" spans="1:6" s="5" customFormat="1" ht="12.75" customHeight="1" x14ac:dyDescent="0.2">
      <c r="A77" s="31" t="s">
        <v>86</v>
      </c>
      <c r="B77" s="31"/>
      <c r="C77" s="26"/>
      <c r="D77" s="7"/>
      <c r="E77" s="8"/>
      <c r="F77" s="14">
        <f>SUM(F72:F76)</f>
        <v>357.72499999999997</v>
      </c>
    </row>
    <row r="78" spans="1:6" s="5" customFormat="1" ht="12.75" customHeight="1" x14ac:dyDescent="0.2">
      <c r="A78" s="149" t="s">
        <v>88</v>
      </c>
      <c r="B78" s="149"/>
      <c r="C78" s="36" t="s">
        <v>33</v>
      </c>
      <c r="D78" s="29" t="s">
        <v>89</v>
      </c>
      <c r="E78" s="32" t="s">
        <v>66</v>
      </c>
      <c r="F78" s="32" t="s">
        <v>36</v>
      </c>
    </row>
    <row r="79" spans="1:6" s="1" customFormat="1" ht="12.75" customHeight="1" x14ac:dyDescent="0.2">
      <c r="A79" s="139" t="s">
        <v>55</v>
      </c>
      <c r="B79" s="139"/>
      <c r="C79" s="27" t="s">
        <v>85</v>
      </c>
      <c r="D79" s="42">
        <v>150</v>
      </c>
      <c r="E79" s="43">
        <f>13.87*1.06</f>
        <v>14.702199999999999</v>
      </c>
      <c r="F79" s="13">
        <f>D79*E79</f>
        <v>2205.33</v>
      </c>
    </row>
    <row r="80" spans="1:6" s="1" customFormat="1" ht="12.75" customHeight="1" x14ac:dyDescent="0.2">
      <c r="A80" s="139" t="s">
        <v>57</v>
      </c>
      <c r="B80" s="139"/>
      <c r="C80" s="27" t="s">
        <v>85</v>
      </c>
      <c r="D80" s="42">
        <v>0</v>
      </c>
      <c r="E80" s="43">
        <v>13.87</v>
      </c>
      <c r="F80" s="13">
        <f>D80*E80</f>
        <v>0</v>
      </c>
    </row>
    <row r="81" spans="1:6" s="1" customFormat="1" ht="12.75" customHeight="1" x14ac:dyDescent="0.2">
      <c r="A81" s="139" t="s">
        <v>58</v>
      </c>
      <c r="B81" s="139"/>
      <c r="C81" s="27" t="s">
        <v>85</v>
      </c>
      <c r="D81" s="42">
        <v>5</v>
      </c>
      <c r="E81" s="43">
        <v>216</v>
      </c>
      <c r="F81" s="13">
        <f>D81*E81</f>
        <v>1080</v>
      </c>
    </row>
    <row r="82" spans="1:6" s="1" customFormat="1" ht="12.75" customHeight="1" x14ac:dyDescent="0.2">
      <c r="A82" s="139" t="s">
        <v>61</v>
      </c>
      <c r="B82" s="139"/>
      <c r="C82" s="27"/>
      <c r="D82" s="9"/>
      <c r="E82" s="43">
        <v>1886</v>
      </c>
      <c r="F82" s="13">
        <f>E82</f>
        <v>1886</v>
      </c>
    </row>
    <row r="83" spans="1:6" s="1" customFormat="1" ht="12.75" customHeight="1" x14ac:dyDescent="0.2">
      <c r="A83" s="139" t="s">
        <v>62</v>
      </c>
      <c r="B83" s="139"/>
      <c r="C83" s="27"/>
      <c r="D83" s="9"/>
      <c r="E83" s="43">
        <v>547</v>
      </c>
      <c r="F83" s="13">
        <v>346</v>
      </c>
    </row>
    <row r="84" spans="1:6" s="1" customFormat="1" ht="12.75" customHeight="1" x14ac:dyDescent="0.2">
      <c r="A84" s="139" t="s">
        <v>4</v>
      </c>
      <c r="B84" s="139"/>
      <c r="C84" s="27" t="s">
        <v>60</v>
      </c>
      <c r="D84" s="42">
        <v>1</v>
      </c>
      <c r="E84" s="43">
        <v>195</v>
      </c>
      <c r="F84" s="13">
        <f>D84*E84</f>
        <v>195</v>
      </c>
    </row>
    <row r="85" spans="1:6" s="1" customFormat="1" ht="12.75" customHeight="1" x14ac:dyDescent="0.2">
      <c r="A85" s="139" t="s">
        <v>5</v>
      </c>
      <c r="B85" s="139"/>
      <c r="C85" s="6" t="s">
        <v>64</v>
      </c>
      <c r="D85" s="35"/>
      <c r="E85" s="49">
        <v>2.4199999999999999E-2</v>
      </c>
      <c r="F85" s="13">
        <f>E85*E9</f>
        <v>671.55</v>
      </c>
    </row>
    <row r="86" spans="1:6" s="1" customFormat="1" ht="12.75" customHeight="1" x14ac:dyDescent="0.2">
      <c r="A86" s="139" t="s">
        <v>117</v>
      </c>
      <c r="B86" s="139"/>
      <c r="C86" s="6"/>
      <c r="D86" s="35"/>
      <c r="E86" s="50">
        <v>351</v>
      </c>
      <c r="F86" s="13">
        <f>E86</f>
        <v>351</v>
      </c>
    </row>
    <row r="87" spans="1:6" s="1" customFormat="1" ht="12.75" customHeight="1" x14ac:dyDescent="0.2">
      <c r="A87" s="105"/>
      <c r="B87" s="105"/>
      <c r="C87" s="45"/>
      <c r="D87" s="39"/>
      <c r="E87" s="50"/>
      <c r="F87" s="13">
        <f>E87*E10</f>
        <v>0</v>
      </c>
    </row>
    <row r="88" spans="1:6" s="1" customFormat="1" ht="12.75" customHeight="1" x14ac:dyDescent="0.2">
      <c r="A88" s="105"/>
      <c r="B88" s="105"/>
      <c r="C88" s="45"/>
      <c r="D88" s="39"/>
      <c r="E88" s="50"/>
      <c r="F88" s="13">
        <f>E88*E11</f>
        <v>0</v>
      </c>
    </row>
    <row r="89" spans="1:6" s="1" customFormat="1" ht="12.75" customHeight="1" x14ac:dyDescent="0.2">
      <c r="A89" s="105"/>
      <c r="B89" s="105"/>
      <c r="C89" s="45"/>
      <c r="D89" s="39"/>
      <c r="E89" s="50"/>
      <c r="F89" s="13">
        <f>E89*E12</f>
        <v>0</v>
      </c>
    </row>
    <row r="90" spans="1:6" s="3" customFormat="1" ht="12.75" customHeight="1" x14ac:dyDescent="0.2">
      <c r="A90" s="31" t="s">
        <v>6</v>
      </c>
      <c r="B90" s="31"/>
      <c r="C90" s="10"/>
      <c r="D90" s="10"/>
      <c r="E90" s="10"/>
      <c r="F90" s="15">
        <f>SUM(F34,F37,F43,F57,F70,F77,F79:F89)</f>
        <v>15115.41575</v>
      </c>
    </row>
    <row r="91" spans="1:6" s="1" customFormat="1" ht="12.75" customHeight="1" x14ac:dyDescent="0.2">
      <c r="A91" s="156"/>
      <c r="B91" s="156"/>
      <c r="C91" s="156"/>
      <c r="D91" s="156"/>
      <c r="E91" s="33"/>
    </row>
    <row r="92" spans="1:6" s="1" customFormat="1" ht="12.75" customHeight="1" x14ac:dyDescent="0.2">
      <c r="A92" s="31" t="s">
        <v>7</v>
      </c>
      <c r="B92" s="31"/>
      <c r="C92" s="157" t="s">
        <v>33</v>
      </c>
      <c r="D92" s="157"/>
      <c r="E92" s="32" t="s">
        <v>66</v>
      </c>
      <c r="F92" s="32" t="s">
        <v>36</v>
      </c>
    </row>
    <row r="93" spans="1:6" s="1" customFormat="1" ht="12.75" customHeight="1" x14ac:dyDescent="0.2">
      <c r="A93" s="30" t="s">
        <v>69</v>
      </c>
      <c r="B93" s="30"/>
      <c r="C93" s="158" t="s">
        <v>67</v>
      </c>
      <c r="D93" s="158"/>
      <c r="E93" s="51">
        <v>0.02</v>
      </c>
      <c r="F93" s="22">
        <f>E93*E9</f>
        <v>555</v>
      </c>
    </row>
    <row r="94" spans="1:6" s="1" customFormat="1" ht="12.75" customHeight="1" x14ac:dyDescent="0.2">
      <c r="A94" s="30" t="s">
        <v>70</v>
      </c>
      <c r="B94" s="30"/>
      <c r="C94" s="158" t="s">
        <v>67</v>
      </c>
      <c r="D94" s="158"/>
      <c r="E94" s="51">
        <v>0.01</v>
      </c>
      <c r="F94" s="22">
        <f>E94*E9</f>
        <v>277.5</v>
      </c>
    </row>
    <row r="95" spans="1:6" s="1" customFormat="1" ht="12.75" customHeight="1" x14ac:dyDescent="0.2">
      <c r="A95" s="30" t="s">
        <v>71</v>
      </c>
      <c r="B95" s="30"/>
      <c r="C95" s="158" t="s">
        <v>68</v>
      </c>
      <c r="D95" s="158"/>
      <c r="E95" s="52">
        <v>750</v>
      </c>
      <c r="F95" s="22">
        <f>E95*E$8</f>
        <v>2812.5</v>
      </c>
    </row>
    <row r="96" spans="1:6" s="1" customFormat="1" ht="12.75" customHeight="1" x14ac:dyDescent="0.2">
      <c r="A96" s="30" t="s">
        <v>77</v>
      </c>
      <c r="B96" s="30"/>
      <c r="C96" s="158" t="s">
        <v>68</v>
      </c>
      <c r="D96" s="158"/>
      <c r="E96" s="52">
        <v>1500</v>
      </c>
      <c r="F96" s="22">
        <f>E96*E$8</f>
        <v>5625</v>
      </c>
    </row>
    <row r="97" spans="1:6" s="1" customFormat="1" ht="12.75" customHeight="1" x14ac:dyDescent="0.2">
      <c r="A97" s="105"/>
      <c r="B97" s="105"/>
      <c r="C97" s="108"/>
      <c r="D97" s="108"/>
      <c r="E97" s="52"/>
      <c r="F97" s="22"/>
    </row>
    <row r="98" spans="1:6" s="1" customFormat="1" ht="12.75" customHeight="1" x14ac:dyDescent="0.2">
      <c r="A98" s="105"/>
      <c r="B98" s="105"/>
      <c r="C98" s="108"/>
      <c r="D98" s="108"/>
      <c r="E98" s="52"/>
      <c r="F98" s="22"/>
    </row>
    <row r="99" spans="1:6" s="1" customFormat="1" ht="12.75" customHeight="1" x14ac:dyDescent="0.2">
      <c r="A99" s="105"/>
      <c r="B99" s="105"/>
      <c r="C99" s="108"/>
      <c r="D99" s="108"/>
      <c r="E99" s="52"/>
      <c r="F99" s="22"/>
    </row>
    <row r="100" spans="1:6" s="1" customFormat="1" ht="12.75" customHeight="1" x14ac:dyDescent="0.2">
      <c r="A100" s="31" t="s">
        <v>8</v>
      </c>
      <c r="B100" s="31"/>
      <c r="C100" s="31"/>
      <c r="D100" s="35"/>
      <c r="E100" s="23"/>
      <c r="F100" s="24">
        <f>SUM(F93:F99)</f>
        <v>9270</v>
      </c>
    </row>
    <row r="101" spans="1:6" s="1" customFormat="1" ht="12.75" customHeight="1" x14ac:dyDescent="0.2">
      <c r="A101" s="2"/>
      <c r="B101" s="2"/>
      <c r="C101" s="2"/>
      <c r="D101" s="159"/>
      <c r="E101" s="159"/>
      <c r="F101" s="159"/>
    </row>
    <row r="102" spans="1:6" s="1" customFormat="1" ht="12.75" customHeight="1" x14ac:dyDescent="0.2">
      <c r="A102" s="30" t="s">
        <v>9</v>
      </c>
      <c r="B102" s="30"/>
      <c r="C102" s="30"/>
      <c r="D102" s="35"/>
      <c r="E102" s="25"/>
      <c r="F102" s="22">
        <f>SUM(F100,F90)</f>
        <v>24385.41575</v>
      </c>
    </row>
    <row r="103" spans="1:6" s="1" customFormat="1" ht="12.75" customHeight="1" x14ac:dyDescent="0.2">
      <c r="A103" s="30" t="s">
        <v>10</v>
      </c>
      <c r="B103" s="30"/>
      <c r="C103" s="30"/>
      <c r="D103" s="35"/>
      <c r="E103" s="25"/>
      <c r="F103" s="53">
        <v>250</v>
      </c>
    </row>
    <row r="104" spans="1:6" s="1" customFormat="1" ht="12.75" customHeight="1" x14ac:dyDescent="0.2">
      <c r="A104" s="30" t="s">
        <v>11</v>
      </c>
      <c r="B104" s="30"/>
      <c r="C104" s="30"/>
      <c r="D104" s="35"/>
      <c r="E104" s="25"/>
      <c r="F104" s="53">
        <v>350</v>
      </c>
    </row>
    <row r="105" spans="1:6" s="1" customFormat="1" ht="12.75" customHeight="1" x14ac:dyDescent="0.2">
      <c r="A105" s="31" t="s">
        <v>12</v>
      </c>
      <c r="B105" s="31"/>
      <c r="C105" s="31"/>
      <c r="D105" s="35"/>
      <c r="E105" s="23"/>
      <c r="F105" s="24">
        <f>SUM(F102:F104)</f>
        <v>24985.41575</v>
      </c>
    </row>
    <row r="106" spans="1:6" s="1" customFormat="1" ht="12.75" customHeight="1" thickBot="1" x14ac:dyDescent="0.25"/>
    <row r="107" spans="1:6" s="1" customFormat="1" ht="12.75" customHeight="1" thickBot="1" x14ac:dyDescent="0.25">
      <c r="A107" s="141" t="s">
        <v>80</v>
      </c>
      <c r="B107" s="142"/>
      <c r="C107" s="142"/>
      <c r="D107" s="142"/>
      <c r="E107" s="142"/>
      <c r="F107" s="143"/>
    </row>
    <row r="108" spans="1:6" s="1" customFormat="1" ht="12.75" customHeight="1" x14ac:dyDescent="0.2">
      <c r="A108" s="34"/>
      <c r="B108" s="34"/>
      <c r="C108" s="144" t="s">
        <v>78</v>
      </c>
      <c r="D108" s="160"/>
      <c r="E108" s="144" t="s">
        <v>79</v>
      </c>
      <c r="F108" s="144"/>
    </row>
    <row r="109" spans="1:6" s="1" customFormat="1" ht="12.75" customHeight="1" x14ac:dyDescent="0.2">
      <c r="A109" s="20" t="s">
        <v>13</v>
      </c>
      <c r="B109" s="18"/>
      <c r="C109" s="16">
        <f>E14-F102+F96</f>
        <v>5674.4582499999997</v>
      </c>
      <c r="D109" s="19">
        <f>(E14-F102+F96)/E7</f>
        <v>325.18385386819483</v>
      </c>
      <c r="E109" s="16">
        <f>E14-F102</f>
        <v>49.45824999999968</v>
      </c>
      <c r="F109" s="17">
        <f>(E14-F102)/E7</f>
        <v>2.8342836676217584</v>
      </c>
    </row>
    <row r="110" spans="1:6" s="1" customFormat="1" ht="12.75" customHeight="1" x14ac:dyDescent="0.2">
      <c r="A110" s="20" t="s">
        <v>14</v>
      </c>
      <c r="B110" s="18" t="s">
        <v>118</v>
      </c>
      <c r="C110" s="16">
        <f>E14-F105+F96</f>
        <v>5074.4582499999997</v>
      </c>
      <c r="D110" s="19">
        <f>(E14-F105+F96)/E7</f>
        <v>290.79989971346703</v>
      </c>
      <c r="E110" s="16">
        <f>E14-F105</f>
        <v>-550.54175000000032</v>
      </c>
      <c r="F110" s="17">
        <f>(E14-F105)/E7</f>
        <v>-31.549670487106038</v>
      </c>
    </row>
    <row r="111" spans="1:6" s="1" customFormat="1" ht="12.75" customHeight="1" x14ac:dyDescent="0.2">
      <c r="A111" s="20" t="s">
        <v>15</v>
      </c>
      <c r="B111" s="18"/>
      <c r="C111" s="161">
        <f>C110/(F105-F96)</f>
        <v>0.26210481817778108</v>
      </c>
      <c r="D111" s="162"/>
      <c r="E111" s="169">
        <f>E110/F105</f>
        <v>-2.2034524280429488E-2</v>
      </c>
      <c r="F111" s="161"/>
    </row>
    <row r="112" spans="1:6" s="1" customFormat="1" ht="12.75" customHeight="1" x14ac:dyDescent="0.2">
      <c r="A112" s="20" t="s">
        <v>16</v>
      </c>
      <c r="B112" s="18"/>
      <c r="C112" s="165">
        <f>(F105-F96)/E15</f>
        <v>5863.2214166522817</v>
      </c>
      <c r="D112" s="166"/>
      <c r="E112" s="167">
        <f>F105/E15</f>
        <v>7566.7292800445784</v>
      </c>
      <c r="F112" s="165"/>
    </row>
    <row r="113" spans="1:1" s="1" customFormat="1" ht="12.75" customHeight="1" x14ac:dyDescent="0.2">
      <c r="A113" s="1" t="s">
        <v>56</v>
      </c>
    </row>
    <row r="114" spans="1:1" s="1" customFormat="1" ht="12.75" customHeight="1" x14ac:dyDescent="0.2">
      <c r="A114" s="1" t="s">
        <v>81</v>
      </c>
    </row>
    <row r="115" spans="1:1" s="1" customFormat="1" ht="12.75" customHeight="1" x14ac:dyDescent="0.2">
      <c r="A115" s="1" t="s">
        <v>63</v>
      </c>
    </row>
  </sheetData>
  <sheetProtection sheet="1" objects="1" scenarios="1"/>
  <mergeCells count="93">
    <mergeCell ref="C108:D108"/>
    <mergeCell ref="E108:F108"/>
    <mergeCell ref="C111:D111"/>
    <mergeCell ref="E111:F111"/>
    <mergeCell ref="C112:D112"/>
    <mergeCell ref="E112:F112"/>
    <mergeCell ref="A107:F107"/>
    <mergeCell ref="C92:D92"/>
    <mergeCell ref="C93:D93"/>
    <mergeCell ref="C94:D94"/>
    <mergeCell ref="C95:D95"/>
    <mergeCell ref="C96:D96"/>
    <mergeCell ref="A97:B97"/>
    <mergeCell ref="C97:D97"/>
    <mergeCell ref="A98:B98"/>
    <mergeCell ref="C98:D98"/>
    <mergeCell ref="A99:B99"/>
    <mergeCell ref="C99:D99"/>
    <mergeCell ref="D101:F101"/>
    <mergeCell ref="A91:D91"/>
    <mergeCell ref="A86:B86"/>
    <mergeCell ref="A78:B78"/>
    <mergeCell ref="A79:B79"/>
    <mergeCell ref="A80:B80"/>
    <mergeCell ref="A81:B81"/>
    <mergeCell ref="A82:B82"/>
    <mergeCell ref="A83:B83"/>
    <mergeCell ref="A84:B84"/>
    <mergeCell ref="A85:B85"/>
    <mergeCell ref="A87:B87"/>
    <mergeCell ref="A88:B88"/>
    <mergeCell ref="A89:B89"/>
    <mergeCell ref="A76:B76"/>
    <mergeCell ref="A52:B52"/>
    <mergeCell ref="A53:B53"/>
    <mergeCell ref="A54:B54"/>
    <mergeCell ref="A55:B55"/>
    <mergeCell ref="A56:B56"/>
    <mergeCell ref="A58:B58"/>
    <mergeCell ref="A67:B67"/>
    <mergeCell ref="A68:B68"/>
    <mergeCell ref="A69:B69"/>
    <mergeCell ref="A71:B71"/>
    <mergeCell ref="A75:B75"/>
    <mergeCell ref="A51:B51"/>
    <mergeCell ref="A39:B39"/>
    <mergeCell ref="A40:B40"/>
    <mergeCell ref="A41:B41"/>
    <mergeCell ref="A42:B42"/>
    <mergeCell ref="A44:B44"/>
    <mergeCell ref="A45:B45"/>
    <mergeCell ref="A46:B46"/>
    <mergeCell ref="A47:B47"/>
    <mergeCell ref="A48:B48"/>
    <mergeCell ref="A49:B49"/>
    <mergeCell ref="A50:B50"/>
    <mergeCell ref="A38:B38"/>
    <mergeCell ref="A15:C15"/>
    <mergeCell ref="E15:F15"/>
    <mergeCell ref="A16:C16"/>
    <mergeCell ref="A17:F17"/>
    <mergeCell ref="D18:F19"/>
    <mergeCell ref="A29:B29"/>
    <mergeCell ref="A30:B30"/>
    <mergeCell ref="A31:B31"/>
    <mergeCell ref="A32:B32"/>
    <mergeCell ref="A33:B33"/>
    <mergeCell ref="A36:B36"/>
    <mergeCell ref="A12:C12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2:F2"/>
    <mergeCell ref="A3:F3"/>
    <mergeCell ref="A4:C4"/>
    <mergeCell ref="E4:F4"/>
  </mergeCells>
  <pageMargins left="0.70866141732283472" right="0.70866141732283472" top="0.74803149606299213" bottom="0.98425196850393704" header="0.31496062992125984" footer="0.31496062992125984"/>
  <pageSetup paperSize="9" scale="50" orientation="portrait" horizontalDpi="300" verticalDpi="30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Pozo Gasoil</vt:lpstr>
      <vt:lpstr>Pozo Electrico</vt:lpstr>
      <vt:lpstr>Represa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Durand-Morat</dc:creator>
  <cp:lastModifiedBy>Usuario de Windows</cp:lastModifiedBy>
  <cp:lastPrinted>2017-08-28T10:40:41Z</cp:lastPrinted>
  <dcterms:created xsi:type="dcterms:W3CDTF">2016-05-17T16:03:14Z</dcterms:created>
  <dcterms:modified xsi:type="dcterms:W3CDTF">2017-09-01T18:22:09Z</dcterms:modified>
</cp:coreProperties>
</file>