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41473668-0DDC-4A9F-8E4A-AAD3547D82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zo-Gas Oil-Arrendado" sheetId="3" r:id="rId1"/>
    <sheet name="Represa-Gas Oil-Arrendado" sheetId="2" r:id="rId2"/>
    <sheet name="Pozo-Eléctrico-Arrendado" sheetId="1" r:id="rId3"/>
  </sheets>
  <calcPr calcId="181029" concurrentCalc="0"/>
</workbook>
</file>

<file path=xl/calcChain.xml><?xml version="1.0" encoding="utf-8"?>
<calcChain xmlns="http://schemas.openxmlformats.org/spreadsheetml/2006/main">
  <c r="C11" i="1" l="1"/>
  <c r="C11" i="3"/>
  <c r="C13" i="3"/>
  <c r="C15" i="3"/>
  <c r="C16" i="3"/>
  <c r="C17" i="3"/>
  <c r="E81" i="1"/>
  <c r="E82" i="1"/>
  <c r="E52" i="1"/>
  <c r="C21" i="1"/>
  <c r="E87" i="2"/>
  <c r="E83" i="2"/>
  <c r="E51" i="2"/>
  <c r="C21" i="2"/>
  <c r="E47" i="3"/>
  <c r="E44" i="3"/>
  <c r="E45" i="3"/>
  <c r="E46" i="3"/>
  <c r="E48" i="3"/>
  <c r="E49" i="3"/>
  <c r="E50" i="3"/>
  <c r="E51" i="3"/>
  <c r="E52" i="3"/>
  <c r="E53" i="3"/>
  <c r="E54" i="3"/>
  <c r="E55" i="3"/>
  <c r="E57" i="3"/>
  <c r="E40" i="3"/>
  <c r="E41" i="3"/>
  <c r="E42" i="3"/>
  <c r="E61" i="3"/>
  <c r="E62" i="3"/>
  <c r="E63" i="3"/>
  <c r="E64" i="3"/>
  <c r="E65" i="3"/>
  <c r="E66" i="3"/>
  <c r="E67" i="3"/>
  <c r="E69" i="3"/>
  <c r="E73" i="3"/>
  <c r="E74" i="3"/>
  <c r="E75" i="3"/>
  <c r="E77" i="3"/>
  <c r="E85" i="3"/>
  <c r="D38" i="3"/>
  <c r="E38" i="3"/>
  <c r="C21" i="3"/>
  <c r="D33" i="3"/>
  <c r="E33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E35" i="3"/>
  <c r="E80" i="3"/>
  <c r="E83" i="3"/>
  <c r="E88" i="3"/>
  <c r="D91" i="3"/>
  <c r="C91" i="3"/>
  <c r="E91" i="3"/>
  <c r="D92" i="3"/>
  <c r="C92" i="3"/>
  <c r="E92" i="3"/>
  <c r="D93" i="3"/>
  <c r="E93" i="3"/>
  <c r="D94" i="3"/>
  <c r="E94" i="3"/>
  <c r="E96" i="3"/>
  <c r="E98" i="3"/>
  <c r="D106" i="3"/>
  <c r="E99" i="3"/>
  <c r="E100" i="3"/>
  <c r="C8" i="3"/>
  <c r="C90" i="1"/>
  <c r="C92" i="2"/>
  <c r="E101" i="2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E35" i="1"/>
  <c r="D38" i="1"/>
  <c r="E38" i="1"/>
  <c r="E40" i="1"/>
  <c r="E41" i="1"/>
  <c r="E42" i="1"/>
  <c r="E45" i="1"/>
  <c r="E46" i="1"/>
  <c r="E47" i="1"/>
  <c r="E48" i="1"/>
  <c r="E49" i="1"/>
  <c r="E50" i="1"/>
  <c r="E51" i="1"/>
  <c r="E53" i="1"/>
  <c r="E54" i="1"/>
  <c r="E55" i="1"/>
  <c r="E56" i="1"/>
  <c r="E58" i="1"/>
  <c r="E62" i="1"/>
  <c r="E63" i="1"/>
  <c r="E64" i="1"/>
  <c r="E65" i="1"/>
  <c r="E66" i="1"/>
  <c r="E67" i="1"/>
  <c r="E68" i="1"/>
  <c r="E70" i="1"/>
  <c r="E74" i="1"/>
  <c r="E75" i="1"/>
  <c r="E76" i="1"/>
  <c r="E78" i="1"/>
  <c r="E84" i="1"/>
  <c r="E87" i="1"/>
  <c r="E99" i="1"/>
  <c r="E98" i="1"/>
  <c r="E100" i="2"/>
  <c r="E85" i="2"/>
  <c r="D92" i="2"/>
  <c r="E92" i="2"/>
  <c r="C93" i="2"/>
  <c r="D93" i="2"/>
  <c r="E93" i="2"/>
  <c r="D94" i="2"/>
  <c r="E94" i="2"/>
  <c r="D95" i="2"/>
  <c r="E95" i="2"/>
  <c r="E97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E35" i="2"/>
  <c r="D38" i="2"/>
  <c r="E38" i="2"/>
  <c r="E40" i="2"/>
  <c r="E41" i="2"/>
  <c r="E42" i="2"/>
  <c r="E44" i="2"/>
  <c r="E45" i="2"/>
  <c r="E46" i="2"/>
  <c r="E47" i="2"/>
  <c r="E48" i="2"/>
  <c r="E49" i="2"/>
  <c r="E50" i="2"/>
  <c r="E52" i="2"/>
  <c r="E53" i="2"/>
  <c r="E54" i="2"/>
  <c r="E55" i="2"/>
  <c r="E57" i="2"/>
  <c r="E61" i="2"/>
  <c r="E62" i="2"/>
  <c r="E63" i="2"/>
  <c r="E64" i="2"/>
  <c r="E65" i="2"/>
  <c r="E66" i="2"/>
  <c r="E67" i="2"/>
  <c r="E69" i="2"/>
  <c r="E73" i="2"/>
  <c r="E74" i="2"/>
  <c r="E75" i="2"/>
  <c r="E77" i="2"/>
  <c r="E80" i="2"/>
  <c r="E89" i="2"/>
  <c r="E99" i="2"/>
  <c r="E103" i="2"/>
  <c r="C11" i="2"/>
  <c r="C13" i="2"/>
  <c r="C15" i="2"/>
  <c r="C16" i="2"/>
  <c r="C17" i="2"/>
  <c r="D110" i="2"/>
  <c r="D107" i="2"/>
  <c r="D108" i="2"/>
  <c r="D109" i="2"/>
  <c r="E108" i="2"/>
  <c r="E107" i="2"/>
  <c r="C8" i="2"/>
  <c r="C15" i="1"/>
  <c r="C13" i="1"/>
  <c r="C16" i="1"/>
  <c r="C17" i="1"/>
  <c r="D90" i="1"/>
  <c r="E90" i="1"/>
  <c r="C91" i="1"/>
  <c r="D91" i="1"/>
  <c r="E91" i="1"/>
  <c r="D92" i="1"/>
  <c r="E92" i="1"/>
  <c r="D93" i="1"/>
  <c r="E93" i="1"/>
  <c r="E95" i="1"/>
  <c r="E97" i="1"/>
  <c r="E101" i="1"/>
  <c r="D108" i="1"/>
  <c r="D105" i="1"/>
  <c r="D106" i="1"/>
  <c r="D107" i="1"/>
  <c r="E106" i="1"/>
  <c r="E105" i="1"/>
  <c r="C8" i="1"/>
  <c r="E102" i="3"/>
  <c r="D107" i="3"/>
  <c r="D108" i="3"/>
  <c r="E107" i="3"/>
  <c r="E106" i="3"/>
  <c r="D109" i="3"/>
</calcChain>
</file>

<file path=xl/sharedStrings.xml><?xml version="1.0" encoding="utf-8"?>
<sst xmlns="http://schemas.openxmlformats.org/spreadsheetml/2006/main" count="513" uniqueCount="129">
  <si>
    <t>Items</t>
  </si>
  <si>
    <t>Unidad</t>
  </si>
  <si>
    <t>Valor</t>
  </si>
  <si>
    <t>Tipo de Cambio</t>
  </si>
  <si>
    <t>kg/ha.</t>
  </si>
  <si>
    <t>US$/kg</t>
  </si>
  <si>
    <t>$/US$</t>
  </si>
  <si>
    <t>$/kg</t>
  </si>
  <si>
    <t>$/ha</t>
  </si>
  <si>
    <t>Costo Secado ( Secado + Paritaria)</t>
  </si>
  <si>
    <t>%</t>
  </si>
  <si>
    <t xml:space="preserve">Flete </t>
  </si>
  <si>
    <t>$/Tn</t>
  </si>
  <si>
    <t>INGRESO BRUTO</t>
  </si>
  <si>
    <t>INGRESO NETO</t>
  </si>
  <si>
    <t>$/ha.</t>
  </si>
  <si>
    <t>INGRESOS</t>
  </si>
  <si>
    <t>COSTOS</t>
  </si>
  <si>
    <t>Precio de la UTA</t>
  </si>
  <si>
    <t>Labores</t>
  </si>
  <si>
    <t>Rastra Pesada</t>
  </si>
  <si>
    <t>Unidad/ha.</t>
  </si>
  <si>
    <t>UTA/Labor</t>
  </si>
  <si>
    <t>Costo/ha.</t>
  </si>
  <si>
    <t>$/UTA</t>
  </si>
  <si>
    <t>Siembra</t>
  </si>
  <si>
    <t>Aplicación aérea de Fertilizantes Foliar  (Zinc)</t>
  </si>
  <si>
    <t>Aplicación aérea de Fungicida</t>
  </si>
  <si>
    <t>Taipeado</t>
  </si>
  <si>
    <t>TOTAL LABORES</t>
  </si>
  <si>
    <t>INSUMOS</t>
  </si>
  <si>
    <t>Cantidad /ha.</t>
  </si>
  <si>
    <t>Precio/Unidad</t>
  </si>
  <si>
    <t>Costo /ha.</t>
  </si>
  <si>
    <t>kg</t>
  </si>
  <si>
    <t>Tratamiento Semilla</t>
  </si>
  <si>
    <t>Fungicidas</t>
  </si>
  <si>
    <t>Zinc (75%)</t>
  </si>
  <si>
    <t>lts</t>
  </si>
  <si>
    <t>HERBICIDAS</t>
  </si>
  <si>
    <t>TOTAL TRATAMIENTO DE SEMILLAS</t>
  </si>
  <si>
    <t>Noomine 40 SC (Bispiribac Sodio)</t>
  </si>
  <si>
    <t>Noomine Gold  10 SC (Bispiribac Sodio)</t>
  </si>
  <si>
    <t>Facet (Quinclorac 25%)</t>
  </si>
  <si>
    <t>Glifosato 62%</t>
  </si>
  <si>
    <t>Kifix (Imazapyr + Imazapic)</t>
  </si>
  <si>
    <t>Command 48% (Clomazone)</t>
  </si>
  <si>
    <t>Aceite Vegetal Metilado (MSO)</t>
  </si>
  <si>
    <t>Clincher (Cyhalofop-Buyl)</t>
  </si>
  <si>
    <t>Aura (Profoxidim)</t>
  </si>
  <si>
    <t>Basagran</t>
  </si>
  <si>
    <t>Cletodim 24%</t>
  </si>
  <si>
    <t>Dicamba</t>
  </si>
  <si>
    <t>TOTAL DE HERBICIDAS</t>
  </si>
  <si>
    <t>FERTILIZANTES</t>
  </si>
  <si>
    <t>Fosfato Monoamónico</t>
  </si>
  <si>
    <t>Mezcla Física (4-30-20)</t>
  </si>
  <si>
    <t>Mezcla Física (15-15-15)</t>
  </si>
  <si>
    <t>Mezcla Física (10-20-30)</t>
  </si>
  <si>
    <t xml:space="preserve">Zinc 75% </t>
  </si>
  <si>
    <t>Urea Granulada</t>
  </si>
  <si>
    <t>TOTAL  FERTILIZANTES</t>
  </si>
  <si>
    <t>FUNGICIDAS</t>
  </si>
  <si>
    <t>Amistar (Azoxistrobin + Ciproconazol)</t>
  </si>
  <si>
    <t>Allegro (Kresoxim metil + Epoxiconazole)</t>
  </si>
  <si>
    <t>Opera (Pyraclostrobin + Epoxiconazole)</t>
  </si>
  <si>
    <t>OTROS INSUMOS</t>
  </si>
  <si>
    <t>Gas Oil para Riego (sin IVA e ITC)</t>
  </si>
  <si>
    <t>Gas Oil para otros usos generales</t>
  </si>
  <si>
    <t>Aceite para Motor Diesel</t>
  </si>
  <si>
    <t>Personal Transitorio</t>
  </si>
  <si>
    <t>TOTAL GASTOS FIJOS DIRECTOS</t>
  </si>
  <si>
    <t>GASTOS VARIABLES DIRECTOS</t>
  </si>
  <si>
    <t>TOTAL GASTOS DIRECTOS</t>
  </si>
  <si>
    <t>GASTOS ESTRUCTURA</t>
  </si>
  <si>
    <t>AMORTIZACIONES DIRECTAS</t>
  </si>
  <si>
    <t>MARGEN BRUTO</t>
  </si>
  <si>
    <t>Campo Arrendado</t>
  </si>
  <si>
    <t>UTILIDAD  (MB-ESTRUCTURA-AMORTIZACIONES)</t>
  </si>
  <si>
    <t>RENTABILIDAD (%)</t>
  </si>
  <si>
    <t>RENDIMIENTO INDIFERENCIA (KG/HA)</t>
  </si>
  <si>
    <t>Gasto de Cosecha y Acarreo</t>
  </si>
  <si>
    <t>Arrendamiento</t>
  </si>
  <si>
    <t>Asesoramiento Técnico (1%)</t>
  </si>
  <si>
    <t>Semilla *</t>
  </si>
  <si>
    <t>Personal Permanente  (5 meses riego) *</t>
  </si>
  <si>
    <t>1 persona</t>
  </si>
  <si>
    <t>TOTAL DE FUNGICIDAS</t>
  </si>
  <si>
    <t>Seguro contra Granizo / Viento (2%)*</t>
  </si>
  <si>
    <t>Labor</t>
  </si>
  <si>
    <t>TOTAL GASTOS VARIABLES  DIRECTOS</t>
  </si>
  <si>
    <t>Flete (50km)</t>
  </si>
  <si>
    <t>Electricidad</t>
  </si>
  <si>
    <t>kw/ha</t>
  </si>
  <si>
    <t>Bonificación del Personal (2.5%)</t>
  </si>
  <si>
    <t xml:space="preserve">COSTO DE PRODUCCIÓN DE ARROZ </t>
  </si>
  <si>
    <t>kg/ha</t>
  </si>
  <si>
    <t>Rendimiento esperado</t>
  </si>
  <si>
    <t>Precio del arroz cáscara puesto en Molino - Pesos</t>
  </si>
  <si>
    <t>Precio del arroz cáscara puesto en Molino - Dólares</t>
  </si>
  <si>
    <t>Costo Secado (Secado + Paritaria)</t>
  </si>
  <si>
    <t>Precio del arroz cáscara, seco puesto en Molino - Pesos</t>
  </si>
  <si>
    <t>$/tn</t>
  </si>
  <si>
    <t>Fosfato Diamónico</t>
  </si>
  <si>
    <t>TOTAL  FUNGICIDAS</t>
  </si>
  <si>
    <t>RESULTADOS ECONÓMICOS</t>
  </si>
  <si>
    <t>*SEMILLA Se considera al doble de precio del arroz cáscara debido a la relacion de 2x1.</t>
  </si>
  <si>
    <t>Aplicación aérea de Fertilizantes (70 kg Urea)</t>
  </si>
  <si>
    <t>Seguro contra Granizo / Viento (2%) *</t>
  </si>
  <si>
    <t>* Se asegura una suma de 1.900.000 pesos por ha. El costo corresponde al 2% de ese valor asegurado.</t>
  </si>
  <si>
    <t>POZO PROFUNDO - CAMPO ARRENDADO - RIEGO A COMBUSTIBLE</t>
  </si>
  <si>
    <t>COSTO TOTAL POR HECTÁREA</t>
  </si>
  <si>
    <t>REPRESA - CAMPO ARRENDADO - RIEGO A COMBUSTIBLE</t>
  </si>
  <si>
    <t>Rastrón</t>
  </si>
  <si>
    <t>Rastra pesada</t>
  </si>
  <si>
    <t>Nivelación RTK</t>
  </si>
  <si>
    <t>Aplicación terrestre de Herbicidas</t>
  </si>
  <si>
    <t>Construcción de Rondas y Canales</t>
  </si>
  <si>
    <t>Aplicación terrestre de Fertilizantes</t>
  </si>
  <si>
    <t>Aplicación aérea de Fertilizantes Foliar (Zinc)</t>
  </si>
  <si>
    <t>Personal Permanente (5 meses riego) *</t>
  </si>
  <si>
    <t>Reparación y Conservación</t>
  </si>
  <si>
    <t>Construcción de Rondas y  Canales</t>
  </si>
  <si>
    <t>* 1 persona de 8 años de antigüedad cuesta 1.031.262 pesos mensuales categoría conductor tractorista, sueldo bruto + art + leyes sociales.</t>
  </si>
  <si>
    <t>* 1 persona de 5 años de antigüedad cuesta 1.031.262 pesos mensuales categoría conductor tractorista, sueldo bruto + art + leyes sociales.</t>
  </si>
  <si>
    <t>* Se asegura una suma de 1.900.000 pesos por ha. El costo corresponde la 2% de ese valor asegurado.</t>
  </si>
  <si>
    <t>* 1 persona de 5 años de antigüedad cuesta 1.031.262 pesos mensuales categoría conductor tractorista, sueldo bruto + art+ leyes sociales.</t>
  </si>
  <si>
    <t>POZO PROFUNDO - CAMPO ARRENDADO - RIEGO ELÉCTRICO</t>
  </si>
  <si>
    <t>Conservación de Represas y Canales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</si>
</sst>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_-[$USD]\ * #,##0.0_-;\-[$USD]\ * #,##0.0_-;_-[$USD]\ * &quot;-&quot;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9" fontId="0" fillId="0" borderId="0" xfId="0" applyNumberForma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4" fontId="0" fillId="4" borderId="1" xfId="0" applyNumberFormat="1" applyFill="1" applyBorder="1"/>
    <xf numFmtId="165" fontId="0" fillId="4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2" fillId="3" borderId="5" xfId="0" applyFont="1" applyFill="1" applyBorder="1"/>
    <xf numFmtId="9" fontId="0" fillId="0" borderId="0" xfId="2" applyFont="1" applyBorder="1" applyAlignment="1">
      <alignment horizontal="right"/>
    </xf>
    <xf numFmtId="0" fontId="2" fillId="2" borderId="5" xfId="0" applyFont="1" applyFill="1" applyBorder="1"/>
    <xf numFmtId="0" fontId="2" fillId="2" borderId="6" xfId="0" applyFont="1" applyFill="1" applyBorder="1"/>
    <xf numFmtId="44" fontId="0" fillId="0" borderId="6" xfId="1" applyFont="1" applyBorder="1" applyAlignment="1">
      <alignment horizontal="center"/>
    </xf>
    <xf numFmtId="44" fontId="2" fillId="2" borderId="6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0" fillId="0" borderId="6" xfId="1" applyFont="1" applyBorder="1"/>
    <xf numFmtId="44" fontId="2" fillId="2" borderId="6" xfId="1" applyFont="1" applyFill="1" applyBorder="1"/>
    <xf numFmtId="0" fontId="0" fillId="0" borderId="0" xfId="1" applyNumberFormat="1" applyFont="1" applyBorder="1" applyAlignment="1">
      <alignment horizontal="center"/>
    </xf>
    <xf numFmtId="44" fontId="2" fillId="2" borderId="6" xfId="0" applyNumberFormat="1" applyFont="1" applyFill="1" applyBorder="1"/>
    <xf numFmtId="0" fontId="2" fillId="0" borderId="6" xfId="0" applyFont="1" applyBorder="1"/>
    <xf numFmtId="44" fontId="0" fillId="0" borderId="6" xfId="0" applyNumberFormat="1" applyBorder="1"/>
    <xf numFmtId="0" fontId="0" fillId="2" borderId="5" xfId="0" applyFill="1" applyBorder="1"/>
    <xf numFmtId="44" fontId="0" fillId="2" borderId="6" xfId="0" applyNumberFormat="1" applyFill="1" applyBorder="1"/>
    <xf numFmtId="0" fontId="0" fillId="4" borderId="5" xfId="0" applyFill="1" applyBorder="1"/>
    <xf numFmtId="0" fontId="0" fillId="4" borderId="0" xfId="0" applyFill="1"/>
    <xf numFmtId="0" fontId="0" fillId="4" borderId="7" xfId="0" applyFill="1" applyBorder="1"/>
    <xf numFmtId="0" fontId="0" fillId="4" borderId="8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9" fontId="0" fillId="4" borderId="1" xfId="2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2" fillId="0" borderId="0" xfId="0" applyFont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9" fontId="0" fillId="0" borderId="0" xfId="0" applyNumberFormat="1" applyBorder="1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0" fillId="4" borderId="0" xfId="0" applyFill="1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71641</xdr:colOff>
      <xdr:row>0</xdr:row>
      <xdr:rowOff>86007</xdr:rowOff>
    </xdr:from>
    <xdr:to>
      <xdr:col>0</xdr:col>
      <xdr:colOff>564950</xdr:colOff>
      <xdr:row>0</xdr:row>
      <xdr:rowOff>709898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549EF7-9D26-6B91-1DA3-B164F9D5C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1" y="86007"/>
          <a:ext cx="493309" cy="623891"/>
        </a:xfrm>
        <a:prstGeom prst="rect">
          <a:avLst/>
        </a:prstGeom>
      </xdr:spPr>
    </xdr:pic>
    <xdr:clientData/>
  </xdr:twoCellAnchor>
  <xdr:twoCellAnchor editAs="oneCell">
    <xdr:from>
      <xdr:col>4</xdr:col>
      <xdr:colOff>78153</xdr:colOff>
      <xdr:row>0</xdr:row>
      <xdr:rowOff>123744</xdr:rowOff>
    </xdr:from>
    <xdr:to>
      <xdr:col>4</xdr:col>
      <xdr:colOff>909600</xdr:colOff>
      <xdr:row>0</xdr:row>
      <xdr:rowOff>661737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28C993-6674-4D23-B734-5CADEED38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9948" y="123744"/>
          <a:ext cx="831447" cy="5379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78619</xdr:rowOff>
    </xdr:from>
    <xdr:to>
      <xdr:col>0</xdr:col>
      <xdr:colOff>602167</xdr:colOff>
      <xdr:row>0</xdr:row>
      <xdr:rowOff>702510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01C6C2-238F-4878-977D-F3546910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8" y="78619"/>
          <a:ext cx="493309" cy="623891"/>
        </a:xfrm>
        <a:prstGeom prst="rect">
          <a:avLst/>
        </a:prstGeom>
      </xdr:spPr>
    </xdr:pic>
    <xdr:clientData/>
  </xdr:twoCellAnchor>
  <xdr:twoCellAnchor editAs="oneCell">
    <xdr:from>
      <xdr:col>4</xdr:col>
      <xdr:colOff>84667</xdr:colOff>
      <xdr:row>0</xdr:row>
      <xdr:rowOff>127000</xdr:rowOff>
    </xdr:from>
    <xdr:to>
      <xdr:col>4</xdr:col>
      <xdr:colOff>916114</xdr:colOff>
      <xdr:row>0</xdr:row>
      <xdr:rowOff>664993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59C45C-C5F0-403D-B27D-4097EB023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810" y="127000"/>
          <a:ext cx="831447" cy="5379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86032</xdr:colOff>
      <xdr:row>0</xdr:row>
      <xdr:rowOff>67597</xdr:rowOff>
    </xdr:from>
    <xdr:to>
      <xdr:col>0</xdr:col>
      <xdr:colOff>579341</xdr:colOff>
      <xdr:row>0</xdr:row>
      <xdr:rowOff>691488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B753C4-C9F8-4F2D-98C1-C0C8A9DA7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32" y="67597"/>
          <a:ext cx="493309" cy="623891"/>
        </a:xfrm>
        <a:prstGeom prst="rect">
          <a:avLst/>
        </a:prstGeom>
      </xdr:spPr>
    </xdr:pic>
    <xdr:clientData/>
  </xdr:twoCellAnchor>
  <xdr:twoCellAnchor editAs="oneCell">
    <xdr:from>
      <xdr:col>4</xdr:col>
      <xdr:colOff>86033</xdr:colOff>
      <xdr:row>0</xdr:row>
      <xdr:rowOff>135192</xdr:rowOff>
    </xdr:from>
    <xdr:to>
      <xdr:col>4</xdr:col>
      <xdr:colOff>917480</xdr:colOff>
      <xdr:row>0</xdr:row>
      <xdr:rowOff>673185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F04658-EEED-46CE-BCDB-B5E493581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3710" y="135192"/>
          <a:ext cx="831447" cy="537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zoomScale="117" zoomScaleNormal="117" workbookViewId="0">
      <selection activeCell="G1" sqref="G1"/>
    </sheetView>
  </sheetViews>
  <sheetFormatPr baseColWidth="10" defaultColWidth="9.109375" defaultRowHeight="14.4" x14ac:dyDescent="0.3"/>
  <cols>
    <col min="1" max="1" width="49.88671875" bestFit="1" customWidth="1"/>
    <col min="2" max="2" width="10.88671875" bestFit="1" customWidth="1"/>
    <col min="3" max="3" width="12.88671875" bestFit="1" customWidth="1"/>
    <col min="4" max="4" width="13.6640625" bestFit="1" customWidth="1"/>
    <col min="5" max="5" width="14.5546875" customWidth="1"/>
  </cols>
  <sheetData>
    <row r="1" spans="1:5" ht="61.8" customHeight="1" x14ac:dyDescent="0.3">
      <c r="A1" s="35"/>
      <c r="B1" s="36"/>
      <c r="C1" s="36"/>
      <c r="D1" s="36"/>
      <c r="E1" s="37"/>
    </row>
    <row r="2" spans="1:5" ht="15.6" x14ac:dyDescent="0.3">
      <c r="A2" s="41" t="s">
        <v>95</v>
      </c>
      <c r="B2" s="42"/>
      <c r="C2" s="42"/>
      <c r="D2" s="42"/>
      <c r="E2" s="43"/>
    </row>
    <row r="3" spans="1:5" ht="18" x14ac:dyDescent="0.35">
      <c r="A3" s="44" t="s">
        <v>110</v>
      </c>
      <c r="B3" s="45"/>
      <c r="C3" s="45"/>
      <c r="D3" s="45"/>
      <c r="E3" s="46"/>
    </row>
    <row r="4" spans="1:5" x14ac:dyDescent="0.3">
      <c r="A4" s="47" t="s">
        <v>16</v>
      </c>
      <c r="B4" s="48"/>
      <c r="C4" s="48"/>
      <c r="E4" s="14"/>
    </row>
    <row r="5" spans="1:5" x14ac:dyDescent="0.3">
      <c r="A5" s="15"/>
      <c r="E5" s="14"/>
    </row>
    <row r="6" spans="1:5" x14ac:dyDescent="0.3">
      <c r="A6" s="16" t="s">
        <v>0</v>
      </c>
      <c r="B6" s="11" t="s">
        <v>1</v>
      </c>
      <c r="C6" s="11" t="s">
        <v>2</v>
      </c>
      <c r="E6" s="14"/>
    </row>
    <row r="7" spans="1:5" x14ac:dyDescent="0.3">
      <c r="A7" s="15" t="s">
        <v>97</v>
      </c>
      <c r="B7" s="1" t="s">
        <v>96</v>
      </c>
      <c r="C7" s="2">
        <v>7600</v>
      </c>
      <c r="E7" s="14"/>
    </row>
    <row r="8" spans="1:5" x14ac:dyDescent="0.3">
      <c r="A8" s="15" t="s">
        <v>99</v>
      </c>
      <c r="B8" s="1" t="s">
        <v>5</v>
      </c>
      <c r="C8" s="3">
        <f>+C10/C9</f>
        <v>0.4366812227074236</v>
      </c>
      <c r="E8" s="14"/>
    </row>
    <row r="9" spans="1:5" x14ac:dyDescent="0.3">
      <c r="A9" s="15" t="s">
        <v>3</v>
      </c>
      <c r="B9" s="1" t="s">
        <v>6</v>
      </c>
      <c r="C9" s="2">
        <v>916</v>
      </c>
      <c r="E9" s="14"/>
    </row>
    <row r="10" spans="1:5" x14ac:dyDescent="0.3">
      <c r="A10" s="15" t="s">
        <v>98</v>
      </c>
      <c r="B10" s="1" t="s">
        <v>7</v>
      </c>
      <c r="C10" s="2">
        <v>400</v>
      </c>
      <c r="E10" s="14"/>
    </row>
    <row r="11" spans="1:5" x14ac:dyDescent="0.3">
      <c r="A11" s="15" t="s">
        <v>13</v>
      </c>
      <c r="B11" s="1" t="s">
        <v>8</v>
      </c>
      <c r="C11" s="2">
        <f>+C7*C10</f>
        <v>3040000</v>
      </c>
      <c r="E11" s="14"/>
    </row>
    <row r="12" spans="1:5" x14ac:dyDescent="0.3">
      <c r="A12" s="15" t="s">
        <v>100</v>
      </c>
      <c r="B12" s="1" t="s">
        <v>10</v>
      </c>
      <c r="C12" s="17">
        <v>7.0000000000000007E-2</v>
      </c>
      <c r="E12" s="14"/>
    </row>
    <row r="13" spans="1:5" x14ac:dyDescent="0.3">
      <c r="A13" s="15" t="s">
        <v>100</v>
      </c>
      <c r="B13" s="1" t="s">
        <v>8</v>
      </c>
      <c r="C13" s="2">
        <f>+(C7+(C7*10%))*C12*C10</f>
        <v>234080.00000000003</v>
      </c>
      <c r="E13" s="14"/>
    </row>
    <row r="14" spans="1:5" x14ac:dyDescent="0.3">
      <c r="A14" s="15" t="s">
        <v>11</v>
      </c>
      <c r="B14" s="1" t="s">
        <v>102</v>
      </c>
      <c r="C14" s="2">
        <v>7000</v>
      </c>
      <c r="E14" s="14"/>
    </row>
    <row r="15" spans="1:5" x14ac:dyDescent="0.3">
      <c r="A15" s="15" t="s">
        <v>11</v>
      </c>
      <c r="B15" s="1" t="s">
        <v>8</v>
      </c>
      <c r="C15" s="2">
        <f>+C14*(((C7+(C7*10%))/1000))</f>
        <v>58519.999999999993</v>
      </c>
      <c r="E15" s="14"/>
    </row>
    <row r="16" spans="1:5" x14ac:dyDescent="0.3">
      <c r="A16" s="15" t="s">
        <v>14</v>
      </c>
      <c r="B16" s="1" t="s">
        <v>8</v>
      </c>
      <c r="C16" s="2">
        <f>+C11-C13-C15</f>
        <v>2747400</v>
      </c>
      <c r="E16" s="14"/>
    </row>
    <row r="17" spans="1:5" x14ac:dyDescent="0.3">
      <c r="A17" s="15" t="s">
        <v>101</v>
      </c>
      <c r="B17" s="1" t="s">
        <v>7</v>
      </c>
      <c r="C17" s="4">
        <f>+C16/C7</f>
        <v>361.5</v>
      </c>
      <c r="E17" s="14"/>
    </row>
    <row r="18" spans="1:5" x14ac:dyDescent="0.3">
      <c r="A18" s="15"/>
      <c r="E18" s="14"/>
    </row>
    <row r="19" spans="1:5" x14ac:dyDescent="0.3">
      <c r="A19" s="47" t="s">
        <v>17</v>
      </c>
      <c r="B19" s="48"/>
      <c r="C19" s="48"/>
      <c r="E19" s="14"/>
    </row>
    <row r="20" spans="1:5" x14ac:dyDescent="0.3">
      <c r="A20" s="15" t="s">
        <v>0</v>
      </c>
      <c r="B20" s="1" t="s">
        <v>1</v>
      </c>
      <c r="C20" t="s">
        <v>2</v>
      </c>
      <c r="E20" s="14"/>
    </row>
    <row r="21" spans="1:5" x14ac:dyDescent="0.3">
      <c r="A21" s="16" t="s">
        <v>18</v>
      </c>
      <c r="B21" s="11" t="s">
        <v>8</v>
      </c>
      <c r="C21" s="10">
        <f>1130*45</f>
        <v>50850</v>
      </c>
      <c r="E21" s="14"/>
    </row>
    <row r="22" spans="1:5" x14ac:dyDescent="0.3">
      <c r="A22" s="18" t="s">
        <v>19</v>
      </c>
      <c r="B22" s="9" t="s">
        <v>21</v>
      </c>
      <c r="C22" s="8" t="s">
        <v>22</v>
      </c>
      <c r="D22" s="9" t="s">
        <v>24</v>
      </c>
      <c r="E22" s="19" t="s">
        <v>23</v>
      </c>
    </row>
    <row r="23" spans="1:5" x14ac:dyDescent="0.3">
      <c r="A23" s="15" t="s">
        <v>114</v>
      </c>
      <c r="B23" s="1">
        <v>2</v>
      </c>
      <c r="C23" s="1">
        <v>1</v>
      </c>
      <c r="D23" s="1">
        <f>+$C$21</f>
        <v>50850</v>
      </c>
      <c r="E23" s="20">
        <f>+B23*C23*D23</f>
        <v>101700</v>
      </c>
    </row>
    <row r="24" spans="1:5" x14ac:dyDescent="0.3">
      <c r="A24" s="15" t="s">
        <v>113</v>
      </c>
      <c r="B24" s="1">
        <v>2</v>
      </c>
      <c r="C24" s="1">
        <v>0.6</v>
      </c>
      <c r="D24" s="1">
        <f t="shared" ref="D24:D33" si="0">+$C$21</f>
        <v>50850</v>
      </c>
      <c r="E24" s="20">
        <f>+B24*C24*D24</f>
        <v>61020</v>
      </c>
    </row>
    <row r="25" spans="1:5" x14ac:dyDescent="0.3">
      <c r="A25" s="15" t="s">
        <v>115</v>
      </c>
      <c r="B25" s="1">
        <v>1</v>
      </c>
      <c r="C25" s="1">
        <v>0.25</v>
      </c>
      <c r="D25" s="1">
        <f t="shared" si="0"/>
        <v>50850</v>
      </c>
      <c r="E25" s="20">
        <f>+B25*C25*D25</f>
        <v>12712.5</v>
      </c>
    </row>
    <row r="26" spans="1:5" x14ac:dyDescent="0.3">
      <c r="A26" s="15" t="s">
        <v>28</v>
      </c>
      <c r="B26" s="1">
        <v>2</v>
      </c>
      <c r="C26" s="1">
        <v>0.3</v>
      </c>
      <c r="D26" s="1">
        <f t="shared" si="0"/>
        <v>50850</v>
      </c>
      <c r="E26" s="20">
        <f t="shared" ref="E26:E33" si="1">+B26*C26*D26</f>
        <v>30510</v>
      </c>
    </row>
    <row r="27" spans="1:5" x14ac:dyDescent="0.3">
      <c r="A27" s="15" t="s">
        <v>25</v>
      </c>
      <c r="B27" s="1">
        <v>1</v>
      </c>
      <c r="C27" s="1">
        <v>1</v>
      </c>
      <c r="D27" s="1">
        <f t="shared" si="0"/>
        <v>50850</v>
      </c>
      <c r="E27" s="20">
        <f t="shared" si="1"/>
        <v>50850</v>
      </c>
    </row>
    <row r="28" spans="1:5" x14ac:dyDescent="0.3">
      <c r="A28" s="15" t="s">
        <v>117</v>
      </c>
      <c r="B28" s="1">
        <v>1</v>
      </c>
      <c r="C28" s="1">
        <v>1</v>
      </c>
      <c r="D28" s="1">
        <f t="shared" si="0"/>
        <v>50850</v>
      </c>
      <c r="E28" s="20">
        <f t="shared" si="1"/>
        <v>50850</v>
      </c>
    </row>
    <row r="29" spans="1:5" x14ac:dyDescent="0.3">
      <c r="A29" s="15" t="s">
        <v>116</v>
      </c>
      <c r="B29" s="1">
        <v>2</v>
      </c>
      <c r="C29" s="1">
        <v>0.3</v>
      </c>
      <c r="D29" s="1">
        <f t="shared" si="0"/>
        <v>50850</v>
      </c>
      <c r="E29" s="20">
        <f t="shared" si="1"/>
        <v>30510</v>
      </c>
    </row>
    <row r="30" spans="1:5" x14ac:dyDescent="0.3">
      <c r="A30" s="15" t="s">
        <v>118</v>
      </c>
      <c r="B30" s="1">
        <v>1</v>
      </c>
      <c r="C30" s="1">
        <v>0.3</v>
      </c>
      <c r="D30" s="1">
        <f t="shared" si="0"/>
        <v>50850</v>
      </c>
      <c r="E30" s="20">
        <f t="shared" si="1"/>
        <v>15255</v>
      </c>
    </row>
    <row r="31" spans="1:5" x14ac:dyDescent="0.3">
      <c r="A31" s="15" t="s">
        <v>107</v>
      </c>
      <c r="B31" s="1">
        <v>1</v>
      </c>
      <c r="C31" s="1">
        <v>0.7</v>
      </c>
      <c r="D31" s="1">
        <f t="shared" si="0"/>
        <v>50850</v>
      </c>
      <c r="E31" s="20">
        <f t="shared" si="1"/>
        <v>35595</v>
      </c>
    </row>
    <row r="32" spans="1:5" x14ac:dyDescent="0.3">
      <c r="A32" s="15" t="s">
        <v>119</v>
      </c>
      <c r="B32" s="1">
        <v>1</v>
      </c>
      <c r="C32" s="1">
        <v>0.3</v>
      </c>
      <c r="D32" s="1">
        <f t="shared" si="0"/>
        <v>50850</v>
      </c>
      <c r="E32" s="20">
        <f t="shared" si="1"/>
        <v>15255</v>
      </c>
    </row>
    <row r="33" spans="1:5" x14ac:dyDescent="0.3">
      <c r="A33" s="15" t="s">
        <v>27</v>
      </c>
      <c r="B33" s="1">
        <v>2</v>
      </c>
      <c r="C33" s="1">
        <v>0.3</v>
      </c>
      <c r="D33" s="1">
        <f t="shared" si="0"/>
        <v>50850</v>
      </c>
      <c r="E33" s="20">
        <f t="shared" si="1"/>
        <v>30510</v>
      </c>
    </row>
    <row r="34" spans="1:5" x14ac:dyDescent="0.3">
      <c r="A34" s="15"/>
      <c r="E34" s="14"/>
    </row>
    <row r="35" spans="1:5" s="6" customFormat="1" x14ac:dyDescent="0.3">
      <c r="A35" s="18" t="s">
        <v>29</v>
      </c>
      <c r="B35" s="8"/>
      <c r="C35" s="8"/>
      <c r="D35" s="8"/>
      <c r="E35" s="21">
        <f>SUM(E23:E34)</f>
        <v>434767.5</v>
      </c>
    </row>
    <row r="36" spans="1:5" x14ac:dyDescent="0.3">
      <c r="A36" s="15"/>
      <c r="E36" s="14"/>
    </row>
    <row r="37" spans="1:5" x14ac:dyDescent="0.3">
      <c r="A37" s="18" t="s">
        <v>30</v>
      </c>
      <c r="B37" s="9" t="s">
        <v>1</v>
      </c>
      <c r="C37" s="9" t="s">
        <v>31</v>
      </c>
      <c r="D37" s="9" t="s">
        <v>32</v>
      </c>
      <c r="E37" s="22" t="s">
        <v>33</v>
      </c>
    </row>
    <row r="38" spans="1:5" x14ac:dyDescent="0.3">
      <c r="A38" s="15" t="s">
        <v>84</v>
      </c>
      <c r="B38" t="s">
        <v>34</v>
      </c>
      <c r="C38" s="1">
        <v>130</v>
      </c>
      <c r="D38" s="1">
        <f>+C10*2</f>
        <v>800</v>
      </c>
      <c r="E38" s="23">
        <f>+C38*D38</f>
        <v>104000</v>
      </c>
    </row>
    <row r="39" spans="1:5" x14ac:dyDescent="0.3">
      <c r="A39" s="18" t="s">
        <v>35</v>
      </c>
      <c r="B39" s="8"/>
      <c r="C39" s="8"/>
      <c r="D39" s="8"/>
      <c r="E39" s="19"/>
    </row>
    <row r="40" spans="1:5" x14ac:dyDescent="0.3">
      <c r="A40" s="15" t="s">
        <v>36</v>
      </c>
      <c r="B40" t="s">
        <v>38</v>
      </c>
      <c r="C40" s="1">
        <v>0.2</v>
      </c>
      <c r="D40" s="1">
        <v>7</v>
      </c>
      <c r="E40" s="23">
        <f>+C40*D40*$C$9</f>
        <v>1282.4000000000001</v>
      </c>
    </row>
    <row r="41" spans="1:5" x14ac:dyDescent="0.3">
      <c r="A41" s="15" t="s">
        <v>37</v>
      </c>
      <c r="B41" t="s">
        <v>38</v>
      </c>
      <c r="C41" s="1">
        <v>0.3</v>
      </c>
      <c r="D41" s="1">
        <v>15</v>
      </c>
      <c r="E41" s="23">
        <f>+C41*D41*$C$9</f>
        <v>4122</v>
      </c>
    </row>
    <row r="42" spans="1:5" x14ac:dyDescent="0.3">
      <c r="A42" s="18" t="s">
        <v>40</v>
      </c>
      <c r="B42" s="8"/>
      <c r="C42" s="8"/>
      <c r="D42" s="8"/>
      <c r="E42" s="24">
        <f>+E40+E41</f>
        <v>5404.4</v>
      </c>
    </row>
    <row r="43" spans="1:5" x14ac:dyDescent="0.3">
      <c r="A43" s="18" t="s">
        <v>39</v>
      </c>
      <c r="B43" s="9" t="s">
        <v>1</v>
      </c>
      <c r="C43" s="9" t="s">
        <v>31</v>
      </c>
      <c r="D43" s="9" t="s">
        <v>32</v>
      </c>
      <c r="E43" s="22" t="s">
        <v>33</v>
      </c>
    </row>
    <row r="44" spans="1:5" x14ac:dyDescent="0.3">
      <c r="A44" s="15" t="s">
        <v>41</v>
      </c>
      <c r="B44" t="s">
        <v>38</v>
      </c>
      <c r="E44" s="23">
        <f>+C44*D44*$C$9</f>
        <v>0</v>
      </c>
    </row>
    <row r="45" spans="1:5" x14ac:dyDescent="0.3">
      <c r="A45" s="15" t="s">
        <v>42</v>
      </c>
      <c r="B45" t="s">
        <v>38</v>
      </c>
      <c r="E45" s="23">
        <f t="shared" ref="E45:E55" si="2">+C45*D45*$C$9</f>
        <v>0</v>
      </c>
    </row>
    <row r="46" spans="1:5" x14ac:dyDescent="0.3">
      <c r="A46" s="15" t="s">
        <v>43</v>
      </c>
      <c r="B46" t="s">
        <v>38</v>
      </c>
      <c r="C46" s="1">
        <v>1.2</v>
      </c>
      <c r="D46" s="25">
        <v>30</v>
      </c>
      <c r="E46" s="23">
        <f>+C46*D46*$C$9</f>
        <v>32976</v>
      </c>
    </row>
    <row r="47" spans="1:5" x14ac:dyDescent="0.3">
      <c r="A47" s="15" t="s">
        <v>44</v>
      </c>
      <c r="B47" t="s">
        <v>38</v>
      </c>
      <c r="C47" s="1">
        <v>5</v>
      </c>
      <c r="D47" s="1">
        <v>6</v>
      </c>
      <c r="E47" s="23">
        <f t="shared" si="2"/>
        <v>27480</v>
      </c>
    </row>
    <row r="48" spans="1:5" x14ac:dyDescent="0.3">
      <c r="A48" s="15" t="s">
        <v>45</v>
      </c>
      <c r="B48" t="s">
        <v>34</v>
      </c>
      <c r="C48" s="1"/>
      <c r="E48" s="23">
        <f t="shared" si="2"/>
        <v>0</v>
      </c>
    </row>
    <row r="49" spans="1:5" x14ac:dyDescent="0.3">
      <c r="A49" s="15" t="s">
        <v>46</v>
      </c>
      <c r="B49" t="s">
        <v>38</v>
      </c>
      <c r="C49" s="1">
        <v>0.7</v>
      </c>
      <c r="D49" s="1">
        <v>16</v>
      </c>
      <c r="E49" s="23">
        <f t="shared" si="2"/>
        <v>10259.199999999999</v>
      </c>
    </row>
    <row r="50" spans="1:5" x14ac:dyDescent="0.3">
      <c r="A50" s="15" t="s">
        <v>47</v>
      </c>
      <c r="B50" t="s">
        <v>38</v>
      </c>
      <c r="C50" s="1">
        <v>0.5</v>
      </c>
      <c r="D50" s="1">
        <v>15</v>
      </c>
      <c r="E50" s="23">
        <f>+C50*D50*$C$9</f>
        <v>6870</v>
      </c>
    </row>
    <row r="51" spans="1:5" x14ac:dyDescent="0.3">
      <c r="A51" s="15" t="s">
        <v>48</v>
      </c>
      <c r="B51" t="s">
        <v>38</v>
      </c>
      <c r="C51" s="1">
        <v>2.8</v>
      </c>
      <c r="D51" s="1">
        <v>15</v>
      </c>
      <c r="E51" s="23">
        <f>+C51*D51*$C$9*0.4</f>
        <v>15388.800000000001</v>
      </c>
    </row>
    <row r="52" spans="1:5" x14ac:dyDescent="0.3">
      <c r="A52" s="15" t="s">
        <v>49</v>
      </c>
      <c r="B52" t="s">
        <v>38</v>
      </c>
      <c r="C52" s="1">
        <v>0.65</v>
      </c>
      <c r="D52" s="1">
        <v>47</v>
      </c>
      <c r="E52" s="23">
        <f t="shared" si="2"/>
        <v>27983.8</v>
      </c>
    </row>
    <row r="53" spans="1:5" x14ac:dyDescent="0.3">
      <c r="A53" s="15" t="s">
        <v>50</v>
      </c>
      <c r="B53" t="s">
        <v>38</v>
      </c>
      <c r="C53" s="1">
        <v>1.5</v>
      </c>
      <c r="D53" s="1">
        <v>23</v>
      </c>
      <c r="E53" s="23">
        <f t="shared" si="2"/>
        <v>31602</v>
      </c>
    </row>
    <row r="54" spans="1:5" x14ac:dyDescent="0.3">
      <c r="A54" s="15" t="s">
        <v>51</v>
      </c>
      <c r="B54" t="s">
        <v>38</v>
      </c>
      <c r="C54" s="1">
        <v>0.6</v>
      </c>
      <c r="D54" s="1">
        <v>20</v>
      </c>
      <c r="E54" s="23">
        <f t="shared" si="2"/>
        <v>10992</v>
      </c>
    </row>
    <row r="55" spans="1:5" x14ac:dyDescent="0.3">
      <c r="A55" s="15" t="s">
        <v>52</v>
      </c>
      <c r="B55" t="s">
        <v>38</v>
      </c>
      <c r="C55" s="1">
        <v>0.15</v>
      </c>
      <c r="D55" s="1">
        <v>10</v>
      </c>
      <c r="E55" s="23">
        <f t="shared" si="2"/>
        <v>1374</v>
      </c>
    </row>
    <row r="56" spans="1:5" x14ac:dyDescent="0.3">
      <c r="A56" s="15"/>
      <c r="E56" s="14"/>
    </row>
    <row r="57" spans="1:5" x14ac:dyDescent="0.3">
      <c r="A57" s="18" t="s">
        <v>53</v>
      </c>
      <c r="B57" s="7"/>
      <c r="C57" s="7"/>
      <c r="D57" s="7"/>
      <c r="E57" s="26">
        <f>SUM(E44:E56)</f>
        <v>164925.79999999999</v>
      </c>
    </row>
    <row r="58" spans="1:5" x14ac:dyDescent="0.3">
      <c r="A58" s="15"/>
      <c r="E58" s="14"/>
    </row>
    <row r="59" spans="1:5" x14ac:dyDescent="0.3">
      <c r="A59" s="15"/>
      <c r="E59" s="14"/>
    </row>
    <row r="60" spans="1:5" x14ac:dyDescent="0.3">
      <c r="A60" s="18" t="s">
        <v>54</v>
      </c>
      <c r="B60" s="9" t="s">
        <v>1</v>
      </c>
      <c r="C60" s="9" t="s">
        <v>31</v>
      </c>
      <c r="D60" s="9" t="s">
        <v>32</v>
      </c>
      <c r="E60" s="22" t="s">
        <v>33</v>
      </c>
    </row>
    <row r="61" spans="1:5" x14ac:dyDescent="0.3">
      <c r="A61" s="15" t="s">
        <v>55</v>
      </c>
      <c r="B61" t="s">
        <v>34</v>
      </c>
      <c r="C61" s="1"/>
      <c r="E61" s="23">
        <f t="shared" ref="E61:E62" si="3">+C61*D61*$C$9</f>
        <v>0</v>
      </c>
    </row>
    <row r="62" spans="1:5" x14ac:dyDescent="0.3">
      <c r="A62" s="15" t="s">
        <v>103</v>
      </c>
      <c r="B62" t="s">
        <v>34</v>
      </c>
      <c r="C62" s="1"/>
      <c r="E62" s="23">
        <f t="shared" si="3"/>
        <v>0</v>
      </c>
    </row>
    <row r="63" spans="1:5" x14ac:dyDescent="0.3">
      <c r="A63" s="15" t="s">
        <v>56</v>
      </c>
      <c r="B63" t="s">
        <v>34</v>
      </c>
      <c r="C63" s="1">
        <v>100</v>
      </c>
      <c r="D63" s="1">
        <v>0.7</v>
      </c>
      <c r="E63" s="23">
        <f>+C63*D63*$C$9</f>
        <v>64120</v>
      </c>
    </row>
    <row r="64" spans="1:5" x14ac:dyDescent="0.3">
      <c r="A64" s="15" t="s">
        <v>57</v>
      </c>
      <c r="B64" t="s">
        <v>34</v>
      </c>
      <c r="C64" s="1"/>
      <c r="D64" s="1"/>
      <c r="E64" s="23">
        <f t="shared" ref="E64:E66" si="4">+C64*D64*$C$9</f>
        <v>0</v>
      </c>
    </row>
    <row r="65" spans="1:5" x14ac:dyDescent="0.3">
      <c r="A65" s="15" t="s">
        <v>58</v>
      </c>
      <c r="B65" t="s">
        <v>34</v>
      </c>
      <c r="C65" s="1"/>
      <c r="D65" s="1"/>
      <c r="E65" s="23">
        <f t="shared" si="4"/>
        <v>0</v>
      </c>
    </row>
    <row r="66" spans="1:5" x14ac:dyDescent="0.3">
      <c r="A66" s="15" t="s">
        <v>59</v>
      </c>
      <c r="B66" t="s">
        <v>38</v>
      </c>
      <c r="C66" s="1">
        <v>0.7</v>
      </c>
      <c r="D66" s="1">
        <v>20</v>
      </c>
      <c r="E66" s="23">
        <f t="shared" si="4"/>
        <v>12824</v>
      </c>
    </row>
    <row r="67" spans="1:5" x14ac:dyDescent="0.3">
      <c r="A67" s="15" t="s">
        <v>60</v>
      </c>
      <c r="B67" t="s">
        <v>34</v>
      </c>
      <c r="C67" s="1">
        <v>200</v>
      </c>
      <c r="D67" s="1">
        <v>0.57999999999999996</v>
      </c>
      <c r="E67" s="23">
        <f>+C67*D67*$C$9</f>
        <v>106255.99999999999</v>
      </c>
    </row>
    <row r="68" spans="1:5" x14ac:dyDescent="0.3">
      <c r="A68" s="15"/>
      <c r="E68" s="14"/>
    </row>
    <row r="69" spans="1:5" x14ac:dyDescent="0.3">
      <c r="A69" s="18" t="s">
        <v>61</v>
      </c>
      <c r="B69" s="7"/>
      <c r="C69" s="7"/>
      <c r="D69" s="7"/>
      <c r="E69" s="26">
        <f>SUM(E61:E68)</f>
        <v>183200</v>
      </c>
    </row>
    <row r="70" spans="1:5" x14ac:dyDescent="0.3">
      <c r="A70" s="15"/>
      <c r="E70" s="14"/>
    </row>
    <row r="71" spans="1:5" x14ac:dyDescent="0.3">
      <c r="A71" s="15"/>
      <c r="B71" s="6"/>
      <c r="C71" s="6"/>
      <c r="D71" s="6"/>
      <c r="E71" s="27"/>
    </row>
    <row r="72" spans="1:5" x14ac:dyDescent="0.3">
      <c r="A72" s="18" t="s">
        <v>62</v>
      </c>
      <c r="B72" s="9" t="s">
        <v>1</v>
      </c>
      <c r="C72" s="9" t="s">
        <v>31</v>
      </c>
      <c r="D72" s="9" t="s">
        <v>32</v>
      </c>
      <c r="E72" s="22" t="s">
        <v>33</v>
      </c>
    </row>
    <row r="73" spans="1:5" x14ac:dyDescent="0.3">
      <c r="A73" s="15" t="s">
        <v>63</v>
      </c>
      <c r="B73" t="s">
        <v>38</v>
      </c>
      <c r="C73" s="1">
        <v>1</v>
      </c>
      <c r="D73" s="1">
        <v>20</v>
      </c>
      <c r="E73" s="23">
        <f>+C73*D73*$C$9</f>
        <v>18320</v>
      </c>
    </row>
    <row r="74" spans="1:5" x14ac:dyDescent="0.3">
      <c r="A74" s="15" t="s">
        <v>64</v>
      </c>
      <c r="B74" t="s">
        <v>38</v>
      </c>
      <c r="E74" s="23">
        <f t="shared" ref="E74:E75" si="5">+C74*D74*$C$9</f>
        <v>0</v>
      </c>
    </row>
    <row r="75" spans="1:5" x14ac:dyDescent="0.3">
      <c r="A75" s="15" t="s">
        <v>65</v>
      </c>
      <c r="B75" t="s">
        <v>38</v>
      </c>
      <c r="E75" s="23">
        <f t="shared" si="5"/>
        <v>0</v>
      </c>
    </row>
    <row r="76" spans="1:5" x14ac:dyDescent="0.3">
      <c r="A76" s="15"/>
      <c r="E76" s="14"/>
    </row>
    <row r="77" spans="1:5" x14ac:dyDescent="0.3">
      <c r="A77" s="18" t="s">
        <v>104</v>
      </c>
      <c r="B77" s="7"/>
      <c r="C77" s="7"/>
      <c r="D77" s="7"/>
      <c r="E77" s="24">
        <f>SUM(E73:E76)</f>
        <v>18320</v>
      </c>
    </row>
    <row r="78" spans="1:5" x14ac:dyDescent="0.3">
      <c r="A78" s="15"/>
      <c r="E78" s="14"/>
    </row>
    <row r="79" spans="1:5" x14ac:dyDescent="0.3">
      <c r="A79" s="18" t="s">
        <v>66</v>
      </c>
      <c r="B79" s="9" t="s">
        <v>1</v>
      </c>
      <c r="C79" s="9" t="s">
        <v>31</v>
      </c>
      <c r="D79" s="9" t="s">
        <v>32</v>
      </c>
      <c r="E79" s="22" t="s">
        <v>33</v>
      </c>
    </row>
    <row r="80" spans="1:5" x14ac:dyDescent="0.3">
      <c r="A80" s="15" t="s">
        <v>67</v>
      </c>
      <c r="B80" t="s">
        <v>38</v>
      </c>
      <c r="C80" s="1">
        <v>400</v>
      </c>
      <c r="D80" s="1">
        <v>810</v>
      </c>
      <c r="E80" s="23">
        <f>+C80*D80</f>
        <v>324000</v>
      </c>
    </row>
    <row r="81" spans="1:5" x14ac:dyDescent="0.3">
      <c r="A81" s="15" t="s">
        <v>68</v>
      </c>
      <c r="B81" t="s">
        <v>38</v>
      </c>
      <c r="C81" s="1"/>
      <c r="E81" s="14"/>
    </row>
    <row r="82" spans="1:5" x14ac:dyDescent="0.3">
      <c r="A82" s="15" t="s">
        <v>69</v>
      </c>
      <c r="B82" t="s">
        <v>38</v>
      </c>
      <c r="C82" s="1">
        <v>3</v>
      </c>
      <c r="E82" s="14"/>
    </row>
    <row r="83" spans="1:5" x14ac:dyDescent="0.3">
      <c r="A83" s="15" t="s">
        <v>120</v>
      </c>
      <c r="B83" t="s">
        <v>86</v>
      </c>
      <c r="E83" s="23">
        <f>1031262*5*1/80</f>
        <v>64453.875</v>
      </c>
    </row>
    <row r="84" spans="1:5" x14ac:dyDescent="0.3">
      <c r="A84" s="15" t="s">
        <v>70</v>
      </c>
      <c r="E84" s="23"/>
    </row>
    <row r="85" spans="1:5" x14ac:dyDescent="0.3">
      <c r="A85" s="15" t="s">
        <v>121</v>
      </c>
      <c r="B85" t="s">
        <v>89</v>
      </c>
      <c r="E85" s="23">
        <f>10*C9</f>
        <v>9160</v>
      </c>
    </row>
    <row r="86" spans="1:5" x14ac:dyDescent="0.3">
      <c r="A86" s="15" t="s">
        <v>108</v>
      </c>
      <c r="D86" s="5"/>
      <c r="E86" s="23">
        <v>38000</v>
      </c>
    </row>
    <row r="87" spans="1:5" x14ac:dyDescent="0.3">
      <c r="A87" s="15"/>
      <c r="E87" s="14"/>
    </row>
    <row r="88" spans="1:5" x14ac:dyDescent="0.3">
      <c r="A88" s="18" t="s">
        <v>71</v>
      </c>
      <c r="B88" s="7"/>
      <c r="C88" s="7"/>
      <c r="D88" s="7"/>
      <c r="E88" s="26">
        <f>+E35+E38+E42+E57+E69+E77+E80+E81+E82+E83+E84+E85+E86</f>
        <v>1346231.575</v>
      </c>
    </row>
    <row r="89" spans="1:5" x14ac:dyDescent="0.3">
      <c r="A89" s="15"/>
      <c r="E89" s="14"/>
    </row>
    <row r="90" spans="1:5" x14ac:dyDescent="0.3">
      <c r="A90" s="18" t="s">
        <v>72</v>
      </c>
      <c r="B90" s="9" t="s">
        <v>1</v>
      </c>
      <c r="C90" s="9" t="s">
        <v>31</v>
      </c>
      <c r="D90" s="9" t="s">
        <v>32</v>
      </c>
      <c r="E90" s="22" t="s">
        <v>33</v>
      </c>
    </row>
    <row r="91" spans="1:5" x14ac:dyDescent="0.3">
      <c r="A91" s="15" t="s">
        <v>94</v>
      </c>
      <c r="B91" t="s">
        <v>34</v>
      </c>
      <c r="C91" s="1">
        <f>2.5%*C7</f>
        <v>190</v>
      </c>
      <c r="D91" s="1">
        <f>+C10</f>
        <v>400</v>
      </c>
      <c r="E91" s="23">
        <f>+C91*D91</f>
        <v>76000</v>
      </c>
    </row>
    <row r="92" spans="1:5" x14ac:dyDescent="0.3">
      <c r="A92" s="15" t="s">
        <v>83</v>
      </c>
      <c r="B92" t="s">
        <v>34</v>
      </c>
      <c r="C92" s="1">
        <f>1%*C7</f>
        <v>76</v>
      </c>
      <c r="D92" s="1">
        <f>+C10</f>
        <v>400</v>
      </c>
      <c r="E92" s="23">
        <f t="shared" ref="E92:E93" si="6">+C92*D92</f>
        <v>30400</v>
      </c>
    </row>
    <row r="93" spans="1:5" x14ac:dyDescent="0.3">
      <c r="A93" s="15" t="s">
        <v>81</v>
      </c>
      <c r="B93" t="s">
        <v>34</v>
      </c>
      <c r="C93" s="1">
        <v>750</v>
      </c>
      <c r="D93" s="1">
        <f>+C10</f>
        <v>400</v>
      </c>
      <c r="E93" s="23">
        <f t="shared" si="6"/>
        <v>300000</v>
      </c>
    </row>
    <row r="94" spans="1:5" x14ac:dyDescent="0.3">
      <c r="A94" s="15" t="s">
        <v>82</v>
      </c>
      <c r="B94" t="s">
        <v>34</v>
      </c>
      <c r="C94" s="1">
        <v>900</v>
      </c>
      <c r="D94" s="1">
        <f>+C10</f>
        <v>400</v>
      </c>
      <c r="E94" s="23">
        <f>+C94*D94</f>
        <v>360000</v>
      </c>
    </row>
    <row r="95" spans="1:5" x14ac:dyDescent="0.3">
      <c r="A95" s="15"/>
      <c r="C95" s="1"/>
      <c r="D95" s="1"/>
      <c r="E95" s="14"/>
    </row>
    <row r="96" spans="1:5" x14ac:dyDescent="0.3">
      <c r="A96" s="18" t="s">
        <v>90</v>
      </c>
      <c r="B96" s="7"/>
      <c r="C96" s="7"/>
      <c r="D96" s="7"/>
      <c r="E96" s="26">
        <f>SUM(E91:E95)</f>
        <v>766400</v>
      </c>
    </row>
    <row r="97" spans="1:7" x14ac:dyDescent="0.3">
      <c r="A97" s="15"/>
      <c r="E97" s="28"/>
    </row>
    <row r="98" spans="1:7" x14ac:dyDescent="0.3">
      <c r="A98" s="29" t="s">
        <v>73</v>
      </c>
      <c r="B98" s="7"/>
      <c r="C98" s="7"/>
      <c r="D98" s="7"/>
      <c r="E98" s="30">
        <f>+E96+E88</f>
        <v>2112631.5750000002</v>
      </c>
    </row>
    <row r="99" spans="1:7" x14ac:dyDescent="0.3">
      <c r="A99" s="15" t="s">
        <v>74</v>
      </c>
      <c r="E99" s="20">
        <f>50*C9</f>
        <v>45800</v>
      </c>
    </row>
    <row r="100" spans="1:7" x14ac:dyDescent="0.3">
      <c r="A100" s="15" t="s">
        <v>75</v>
      </c>
      <c r="E100" s="23">
        <f>30*C9</f>
        <v>27480</v>
      </c>
    </row>
    <row r="101" spans="1:7" x14ac:dyDescent="0.3">
      <c r="A101" s="15"/>
      <c r="E101" s="14"/>
    </row>
    <row r="102" spans="1:7" x14ac:dyDescent="0.3">
      <c r="A102" s="18" t="s">
        <v>111</v>
      </c>
      <c r="B102" s="7"/>
      <c r="C102" s="7"/>
      <c r="D102" s="7"/>
      <c r="E102" s="26">
        <f>+E98+E99+E100</f>
        <v>2185911.5750000002</v>
      </c>
    </row>
    <row r="103" spans="1:7" x14ac:dyDescent="0.3">
      <c r="A103" s="15"/>
      <c r="E103" s="14"/>
    </row>
    <row r="104" spans="1:7" x14ac:dyDescent="0.3">
      <c r="A104" s="66" t="s">
        <v>105</v>
      </c>
      <c r="B104" s="67"/>
      <c r="C104" s="67"/>
      <c r="D104" s="67"/>
      <c r="E104" s="77"/>
    </row>
    <row r="105" spans="1:7" x14ac:dyDescent="0.3">
      <c r="A105" s="31"/>
      <c r="B105" s="32"/>
      <c r="C105" s="32"/>
      <c r="D105" s="78" t="s">
        <v>77</v>
      </c>
      <c r="E105" s="79"/>
    </row>
    <row r="106" spans="1:7" x14ac:dyDescent="0.3">
      <c r="A106" s="31" t="s">
        <v>76</v>
      </c>
      <c r="B106" s="32"/>
      <c r="C106" s="32"/>
      <c r="D106" s="12">
        <f>+C16-E98</f>
        <v>634768.42499999981</v>
      </c>
      <c r="E106" s="13">
        <f>+D106/$C$9</f>
        <v>692.97862991266356</v>
      </c>
    </row>
    <row r="107" spans="1:7" x14ac:dyDescent="0.3">
      <c r="A107" s="31" t="s">
        <v>78</v>
      </c>
      <c r="B107" s="32"/>
      <c r="C107" s="32"/>
      <c r="D107" s="12">
        <f>+D106-E99-E100</f>
        <v>561488.42499999981</v>
      </c>
      <c r="E107" s="13">
        <f>+D107/$C$9</f>
        <v>612.97862991266356</v>
      </c>
    </row>
    <row r="108" spans="1:7" x14ac:dyDescent="0.3">
      <c r="A108" s="31" t="s">
        <v>79</v>
      </c>
      <c r="B108" s="32"/>
      <c r="C108" s="32"/>
      <c r="D108" s="39">
        <f>+D107/E98</f>
        <v>0.26577678363062418</v>
      </c>
      <c r="E108" s="39"/>
    </row>
    <row r="109" spans="1:7" x14ac:dyDescent="0.3">
      <c r="A109" s="33" t="s">
        <v>80</v>
      </c>
      <c r="B109" s="34"/>
      <c r="C109" s="34" t="s">
        <v>4</v>
      </c>
      <c r="D109" s="40">
        <f>+E102/C17</f>
        <v>6046.7816735822962</v>
      </c>
      <c r="E109" s="40"/>
    </row>
    <row r="111" spans="1:7" x14ac:dyDescent="0.3">
      <c r="A111" t="s">
        <v>106</v>
      </c>
    </row>
    <row r="112" spans="1:7" x14ac:dyDescent="0.3">
      <c r="A112" s="38" t="s">
        <v>123</v>
      </c>
      <c r="B112" s="38"/>
      <c r="C112" s="38"/>
      <c r="D112" s="38"/>
      <c r="E112" s="38"/>
      <c r="F112" s="38"/>
      <c r="G112" s="38"/>
    </row>
    <row r="113" spans="1:1" x14ac:dyDescent="0.3">
      <c r="A113" t="s">
        <v>109</v>
      </c>
    </row>
  </sheetData>
  <mergeCells count="10">
    <mergeCell ref="A1:E1"/>
    <mergeCell ref="A112:G112"/>
    <mergeCell ref="D108:E108"/>
    <mergeCell ref="D109:E109"/>
    <mergeCell ref="A2:E2"/>
    <mergeCell ref="A3:E3"/>
    <mergeCell ref="A4:C4"/>
    <mergeCell ref="A19:C19"/>
    <mergeCell ref="A104:E104"/>
    <mergeCell ref="D105:E10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4"/>
  <sheetViews>
    <sheetView zoomScale="126" zoomScaleNormal="126" workbookViewId="0">
      <selection sqref="A1:E1"/>
    </sheetView>
  </sheetViews>
  <sheetFormatPr baseColWidth="10" defaultColWidth="9.109375" defaultRowHeight="14.4" x14ac:dyDescent="0.3"/>
  <cols>
    <col min="1" max="1" width="49.88671875" bestFit="1" customWidth="1"/>
    <col min="2" max="2" width="10.88671875" bestFit="1" customWidth="1"/>
    <col min="3" max="3" width="12.88671875" bestFit="1" customWidth="1"/>
    <col min="4" max="4" width="13.6640625" bestFit="1" customWidth="1"/>
    <col min="5" max="5" width="14.5546875" customWidth="1"/>
  </cols>
  <sheetData>
    <row r="1" spans="1:5" ht="61.8" customHeight="1" x14ac:dyDescent="0.3">
      <c r="A1" s="35"/>
      <c r="B1" s="36"/>
      <c r="C1" s="36"/>
      <c r="D1" s="36"/>
      <c r="E1" s="37"/>
    </row>
    <row r="2" spans="1:5" ht="15.6" x14ac:dyDescent="0.3">
      <c r="A2" s="41" t="s">
        <v>95</v>
      </c>
      <c r="B2" s="42"/>
      <c r="C2" s="42"/>
      <c r="D2" s="42"/>
      <c r="E2" s="43"/>
    </row>
    <row r="3" spans="1:5" ht="18" x14ac:dyDescent="0.35">
      <c r="A3" s="44" t="s">
        <v>112</v>
      </c>
      <c r="B3" s="45"/>
      <c r="C3" s="45"/>
      <c r="D3" s="45"/>
      <c r="E3" s="46"/>
    </row>
    <row r="4" spans="1:5" x14ac:dyDescent="0.3">
      <c r="A4" s="47" t="s">
        <v>16</v>
      </c>
      <c r="B4" s="48"/>
      <c r="C4" s="48"/>
      <c r="E4" s="14"/>
    </row>
    <row r="5" spans="1:5" x14ac:dyDescent="0.3">
      <c r="A5" s="15"/>
      <c r="E5" s="14"/>
    </row>
    <row r="6" spans="1:5" x14ac:dyDescent="0.3">
      <c r="A6" s="16" t="s">
        <v>0</v>
      </c>
      <c r="B6" s="11" t="s">
        <v>1</v>
      </c>
      <c r="C6" s="11" t="s">
        <v>2</v>
      </c>
      <c r="E6" s="14"/>
    </row>
    <row r="7" spans="1:5" x14ac:dyDescent="0.3">
      <c r="A7" s="15" t="s">
        <v>97</v>
      </c>
      <c r="B7" s="1" t="s">
        <v>96</v>
      </c>
      <c r="C7" s="2">
        <v>7600</v>
      </c>
      <c r="E7" s="14"/>
    </row>
    <row r="8" spans="1:5" x14ac:dyDescent="0.3">
      <c r="A8" s="15" t="s">
        <v>99</v>
      </c>
      <c r="B8" s="1" t="s">
        <v>5</v>
      </c>
      <c r="C8" s="3">
        <f>+C10/C9</f>
        <v>0.4366812227074236</v>
      </c>
      <c r="E8" s="14"/>
    </row>
    <row r="9" spans="1:5" x14ac:dyDescent="0.3">
      <c r="A9" s="15" t="s">
        <v>3</v>
      </c>
      <c r="B9" s="1" t="s">
        <v>6</v>
      </c>
      <c r="C9" s="2">
        <v>916</v>
      </c>
      <c r="E9" s="14"/>
    </row>
    <row r="10" spans="1:5" x14ac:dyDescent="0.3">
      <c r="A10" s="15" t="s">
        <v>98</v>
      </c>
      <c r="B10" s="1" t="s">
        <v>7</v>
      </c>
      <c r="C10" s="2">
        <v>400</v>
      </c>
      <c r="E10" s="14"/>
    </row>
    <row r="11" spans="1:5" x14ac:dyDescent="0.3">
      <c r="A11" s="15" t="s">
        <v>13</v>
      </c>
      <c r="B11" s="1" t="s">
        <v>8</v>
      </c>
      <c r="C11" s="2">
        <f>+C7*C10</f>
        <v>3040000</v>
      </c>
      <c r="E11" s="14"/>
    </row>
    <row r="12" spans="1:5" x14ac:dyDescent="0.3">
      <c r="A12" s="15" t="s">
        <v>9</v>
      </c>
      <c r="B12" s="1" t="s">
        <v>10</v>
      </c>
      <c r="C12" s="17">
        <v>7.0000000000000007E-2</v>
      </c>
      <c r="E12" s="14"/>
    </row>
    <row r="13" spans="1:5" x14ac:dyDescent="0.3">
      <c r="A13" s="15" t="s">
        <v>9</v>
      </c>
      <c r="B13" s="1" t="s">
        <v>8</v>
      </c>
      <c r="C13" s="2">
        <f>+(C7+(C7*10%))*C12*C10</f>
        <v>234080.00000000003</v>
      </c>
      <c r="E13" s="14"/>
    </row>
    <row r="14" spans="1:5" x14ac:dyDescent="0.3">
      <c r="A14" s="15" t="s">
        <v>11</v>
      </c>
      <c r="B14" s="1" t="s">
        <v>12</v>
      </c>
      <c r="C14" s="2">
        <v>7000</v>
      </c>
      <c r="E14" s="14"/>
    </row>
    <row r="15" spans="1:5" x14ac:dyDescent="0.3">
      <c r="A15" s="15" t="s">
        <v>11</v>
      </c>
      <c r="B15" s="1" t="s">
        <v>8</v>
      </c>
      <c r="C15" s="2">
        <f>+C14*(((C7+(C7*10%))/1000))</f>
        <v>58519.999999999993</v>
      </c>
      <c r="E15" s="14"/>
    </row>
    <row r="16" spans="1:5" x14ac:dyDescent="0.3">
      <c r="A16" s="15" t="s">
        <v>14</v>
      </c>
      <c r="B16" s="1" t="s">
        <v>8</v>
      </c>
      <c r="C16" s="2">
        <f>+C11-C13-C15</f>
        <v>2747400</v>
      </c>
      <c r="E16" s="14"/>
    </row>
    <row r="17" spans="1:5" x14ac:dyDescent="0.3">
      <c r="A17" s="15" t="s">
        <v>101</v>
      </c>
      <c r="B17" s="1" t="s">
        <v>7</v>
      </c>
      <c r="C17" s="4">
        <f>+C16/C7</f>
        <v>361.5</v>
      </c>
      <c r="E17" s="14"/>
    </row>
    <row r="18" spans="1:5" x14ac:dyDescent="0.3">
      <c r="A18" s="15"/>
      <c r="E18" s="14"/>
    </row>
    <row r="19" spans="1:5" x14ac:dyDescent="0.3">
      <c r="A19" s="47" t="s">
        <v>17</v>
      </c>
      <c r="B19" s="48"/>
      <c r="C19" s="48"/>
      <c r="E19" s="14"/>
    </row>
    <row r="20" spans="1:5" x14ac:dyDescent="0.3">
      <c r="A20" s="15" t="s">
        <v>0</v>
      </c>
      <c r="B20" s="1" t="s">
        <v>1</v>
      </c>
      <c r="C20" t="s">
        <v>2</v>
      </c>
      <c r="E20" s="14"/>
    </row>
    <row r="21" spans="1:5" x14ac:dyDescent="0.3">
      <c r="A21" s="16" t="s">
        <v>18</v>
      </c>
      <c r="B21" s="11" t="s">
        <v>8</v>
      </c>
      <c r="C21" s="10">
        <f>1130*45</f>
        <v>50850</v>
      </c>
      <c r="E21" s="14"/>
    </row>
    <row r="22" spans="1:5" x14ac:dyDescent="0.3">
      <c r="A22" s="18" t="s">
        <v>19</v>
      </c>
      <c r="B22" s="9" t="s">
        <v>21</v>
      </c>
      <c r="C22" s="8" t="s">
        <v>22</v>
      </c>
      <c r="D22" s="9" t="s">
        <v>24</v>
      </c>
      <c r="E22" s="19" t="s">
        <v>23</v>
      </c>
    </row>
    <row r="23" spans="1:5" x14ac:dyDescent="0.3">
      <c r="A23" s="15" t="s">
        <v>114</v>
      </c>
      <c r="B23" s="1">
        <v>2</v>
      </c>
      <c r="C23" s="1">
        <v>1</v>
      </c>
      <c r="D23" s="1">
        <f>+$C$21</f>
        <v>50850</v>
      </c>
      <c r="E23" s="20">
        <f>+B23*C23*D23</f>
        <v>101700</v>
      </c>
    </row>
    <row r="24" spans="1:5" x14ac:dyDescent="0.3">
      <c r="A24" s="15" t="s">
        <v>113</v>
      </c>
      <c r="B24" s="1">
        <v>2</v>
      </c>
      <c r="C24" s="1">
        <v>0.6</v>
      </c>
      <c r="D24" s="1">
        <f t="shared" ref="D24:D33" si="0">+$C$21</f>
        <v>50850</v>
      </c>
      <c r="E24" s="20">
        <f>+B24*C24*D24</f>
        <v>61020</v>
      </c>
    </row>
    <row r="25" spans="1:5" x14ac:dyDescent="0.3">
      <c r="A25" s="15" t="s">
        <v>115</v>
      </c>
      <c r="B25" s="1">
        <v>1</v>
      </c>
      <c r="C25" s="1">
        <v>0.25</v>
      </c>
      <c r="D25" s="1">
        <f t="shared" si="0"/>
        <v>50850</v>
      </c>
      <c r="E25" s="20">
        <f>+B25*C25*D25</f>
        <v>12712.5</v>
      </c>
    </row>
    <row r="26" spans="1:5" x14ac:dyDescent="0.3">
      <c r="A26" s="15" t="s">
        <v>28</v>
      </c>
      <c r="B26" s="1">
        <v>2</v>
      </c>
      <c r="C26" s="1">
        <v>0.3</v>
      </c>
      <c r="D26" s="1">
        <f t="shared" si="0"/>
        <v>50850</v>
      </c>
      <c r="E26" s="20">
        <f t="shared" ref="E26:E33" si="1">+B26*C26*D26</f>
        <v>30510</v>
      </c>
    </row>
    <row r="27" spans="1:5" x14ac:dyDescent="0.3">
      <c r="A27" s="15" t="s">
        <v>25</v>
      </c>
      <c r="B27" s="1">
        <v>1</v>
      </c>
      <c r="C27" s="1">
        <v>1</v>
      </c>
      <c r="D27" s="1">
        <f t="shared" si="0"/>
        <v>50850</v>
      </c>
      <c r="E27" s="20">
        <f t="shared" si="1"/>
        <v>50850</v>
      </c>
    </row>
    <row r="28" spans="1:5" x14ac:dyDescent="0.3">
      <c r="A28" s="15" t="s">
        <v>117</v>
      </c>
      <c r="B28" s="1">
        <v>1</v>
      </c>
      <c r="C28" s="1">
        <v>1</v>
      </c>
      <c r="D28" s="1">
        <f t="shared" si="0"/>
        <v>50850</v>
      </c>
      <c r="E28" s="20">
        <f t="shared" si="1"/>
        <v>50850</v>
      </c>
    </row>
    <row r="29" spans="1:5" x14ac:dyDescent="0.3">
      <c r="A29" s="15" t="s">
        <v>116</v>
      </c>
      <c r="B29" s="1">
        <v>2</v>
      </c>
      <c r="C29" s="1">
        <v>0.3</v>
      </c>
      <c r="D29" s="1">
        <f t="shared" si="0"/>
        <v>50850</v>
      </c>
      <c r="E29" s="20">
        <f t="shared" si="1"/>
        <v>30510</v>
      </c>
    </row>
    <row r="30" spans="1:5" x14ac:dyDescent="0.3">
      <c r="A30" s="15" t="s">
        <v>118</v>
      </c>
      <c r="B30" s="1">
        <v>1</v>
      </c>
      <c r="C30" s="1">
        <v>0.3</v>
      </c>
      <c r="D30" s="1">
        <f t="shared" si="0"/>
        <v>50850</v>
      </c>
      <c r="E30" s="20">
        <f t="shared" si="1"/>
        <v>15255</v>
      </c>
    </row>
    <row r="31" spans="1:5" x14ac:dyDescent="0.3">
      <c r="A31" s="15" t="s">
        <v>107</v>
      </c>
      <c r="B31" s="1">
        <v>1</v>
      </c>
      <c r="C31" s="1">
        <v>0.6</v>
      </c>
      <c r="D31" s="1">
        <f t="shared" si="0"/>
        <v>50850</v>
      </c>
      <c r="E31" s="20">
        <f t="shared" si="1"/>
        <v>30510</v>
      </c>
    </row>
    <row r="32" spans="1:5" x14ac:dyDescent="0.3">
      <c r="A32" s="15" t="s">
        <v>119</v>
      </c>
      <c r="B32" s="1">
        <v>1</v>
      </c>
      <c r="C32" s="1">
        <v>0.25</v>
      </c>
      <c r="D32" s="1">
        <f t="shared" si="0"/>
        <v>50850</v>
      </c>
      <c r="E32" s="20">
        <f t="shared" si="1"/>
        <v>12712.5</v>
      </c>
    </row>
    <row r="33" spans="1:5" x14ac:dyDescent="0.3">
      <c r="A33" s="15" t="s">
        <v>27</v>
      </c>
      <c r="B33" s="1">
        <v>2</v>
      </c>
      <c r="C33" s="1">
        <v>0.3</v>
      </c>
      <c r="D33" s="1">
        <f t="shared" si="0"/>
        <v>50850</v>
      </c>
      <c r="E33" s="20">
        <f t="shared" si="1"/>
        <v>30510</v>
      </c>
    </row>
    <row r="34" spans="1:5" x14ac:dyDescent="0.3">
      <c r="A34" s="15"/>
      <c r="E34" s="14"/>
    </row>
    <row r="35" spans="1:5" s="6" customFormat="1" x14ac:dyDescent="0.3">
      <c r="A35" s="18" t="s">
        <v>29</v>
      </c>
      <c r="B35" s="8"/>
      <c r="C35" s="8"/>
      <c r="D35" s="8"/>
      <c r="E35" s="21">
        <f>SUM(E23:E34)</f>
        <v>427140</v>
      </c>
    </row>
    <row r="36" spans="1:5" x14ac:dyDescent="0.3">
      <c r="A36" s="15"/>
      <c r="E36" s="14"/>
    </row>
    <row r="37" spans="1:5" x14ac:dyDescent="0.3">
      <c r="A37" s="18" t="s">
        <v>30</v>
      </c>
      <c r="B37" s="9" t="s">
        <v>1</v>
      </c>
      <c r="C37" s="9" t="s">
        <v>31</v>
      </c>
      <c r="D37" s="9" t="s">
        <v>32</v>
      </c>
      <c r="E37" s="22" t="s">
        <v>33</v>
      </c>
    </row>
    <row r="38" spans="1:5" x14ac:dyDescent="0.3">
      <c r="A38" s="15" t="s">
        <v>84</v>
      </c>
      <c r="B38" t="s">
        <v>34</v>
      </c>
      <c r="C38" s="1">
        <v>130</v>
      </c>
      <c r="D38" s="1">
        <f>+C10*2</f>
        <v>800</v>
      </c>
      <c r="E38" s="23">
        <f>+C38*D38</f>
        <v>104000</v>
      </c>
    </row>
    <row r="39" spans="1:5" x14ac:dyDescent="0.3">
      <c r="A39" s="18" t="s">
        <v>35</v>
      </c>
      <c r="B39" s="8"/>
      <c r="C39" s="8"/>
      <c r="D39" s="8"/>
      <c r="E39" s="19"/>
    </row>
    <row r="40" spans="1:5" x14ac:dyDescent="0.3">
      <c r="A40" s="15" t="s">
        <v>36</v>
      </c>
      <c r="B40" t="s">
        <v>38</v>
      </c>
      <c r="C40" s="1">
        <v>0.2</v>
      </c>
      <c r="D40" s="1">
        <v>7</v>
      </c>
      <c r="E40" s="23">
        <f>+C40*D40*$C$9</f>
        <v>1282.4000000000001</v>
      </c>
    </row>
    <row r="41" spans="1:5" x14ac:dyDescent="0.3">
      <c r="A41" s="15" t="s">
        <v>37</v>
      </c>
      <c r="B41" t="s">
        <v>38</v>
      </c>
      <c r="C41" s="1">
        <v>0.3</v>
      </c>
      <c r="D41" s="1">
        <v>15</v>
      </c>
      <c r="E41" s="23">
        <f>+C41*D41*$C$9</f>
        <v>4122</v>
      </c>
    </row>
    <row r="42" spans="1:5" x14ac:dyDescent="0.3">
      <c r="A42" s="18" t="s">
        <v>40</v>
      </c>
      <c r="B42" s="8"/>
      <c r="C42" s="8"/>
      <c r="D42" s="8"/>
      <c r="E42" s="24">
        <f>+E40+E41</f>
        <v>5404.4</v>
      </c>
    </row>
    <row r="43" spans="1:5" x14ac:dyDescent="0.3">
      <c r="A43" s="18" t="s">
        <v>39</v>
      </c>
      <c r="B43" s="9" t="s">
        <v>1</v>
      </c>
      <c r="C43" s="9" t="s">
        <v>31</v>
      </c>
      <c r="D43" s="9" t="s">
        <v>32</v>
      </c>
      <c r="E43" s="22" t="s">
        <v>33</v>
      </c>
    </row>
    <row r="44" spans="1:5" x14ac:dyDescent="0.3">
      <c r="A44" s="15" t="s">
        <v>41</v>
      </c>
      <c r="B44" t="s">
        <v>38</v>
      </c>
      <c r="E44" s="23">
        <f>+C44*D44*$C$9</f>
        <v>0</v>
      </c>
    </row>
    <row r="45" spans="1:5" x14ac:dyDescent="0.3">
      <c r="A45" s="15" t="s">
        <v>42</v>
      </c>
      <c r="B45" t="s">
        <v>38</v>
      </c>
      <c r="E45" s="23">
        <f t="shared" ref="E45:E55" si="2">+C45*D45*$C$9</f>
        <v>0</v>
      </c>
    </row>
    <row r="46" spans="1:5" x14ac:dyDescent="0.3">
      <c r="A46" s="15" t="s">
        <v>43</v>
      </c>
      <c r="B46" t="s">
        <v>38</v>
      </c>
      <c r="C46" s="1">
        <v>1.2</v>
      </c>
      <c r="D46" s="25">
        <v>30</v>
      </c>
      <c r="E46" s="23">
        <f t="shared" si="2"/>
        <v>32976</v>
      </c>
    </row>
    <row r="47" spans="1:5" x14ac:dyDescent="0.3">
      <c r="A47" s="15" t="s">
        <v>44</v>
      </c>
      <c r="B47" t="s">
        <v>38</v>
      </c>
      <c r="C47" s="1">
        <v>5</v>
      </c>
      <c r="D47" s="1">
        <v>6</v>
      </c>
      <c r="E47" s="23">
        <f t="shared" si="2"/>
        <v>27480</v>
      </c>
    </row>
    <row r="48" spans="1:5" x14ac:dyDescent="0.3">
      <c r="A48" s="15" t="s">
        <v>45</v>
      </c>
      <c r="B48" t="s">
        <v>34</v>
      </c>
      <c r="C48" s="1"/>
      <c r="E48" s="23">
        <f t="shared" si="2"/>
        <v>0</v>
      </c>
    </row>
    <row r="49" spans="1:5" x14ac:dyDescent="0.3">
      <c r="A49" s="15" t="s">
        <v>46</v>
      </c>
      <c r="B49" t="s">
        <v>38</v>
      </c>
      <c r="C49" s="1">
        <v>0.7</v>
      </c>
      <c r="D49" s="1">
        <v>16</v>
      </c>
      <c r="E49" s="23">
        <f t="shared" si="2"/>
        <v>10259.199999999999</v>
      </c>
    </row>
    <row r="50" spans="1:5" x14ac:dyDescent="0.3">
      <c r="A50" s="15" t="s">
        <v>47</v>
      </c>
      <c r="B50" t="s">
        <v>38</v>
      </c>
      <c r="C50" s="1">
        <v>0.5</v>
      </c>
      <c r="D50" s="1">
        <v>15</v>
      </c>
      <c r="E50" s="23">
        <f t="shared" si="2"/>
        <v>6870</v>
      </c>
    </row>
    <row r="51" spans="1:5" x14ac:dyDescent="0.3">
      <c r="A51" s="15" t="s">
        <v>48</v>
      </c>
      <c r="B51" t="s">
        <v>38</v>
      </c>
      <c r="C51" s="1">
        <v>2.8</v>
      </c>
      <c r="D51" s="1">
        <v>15</v>
      </c>
      <c r="E51" s="23">
        <f>+C51*D51*$C$9*0.4</f>
        <v>15388.800000000001</v>
      </c>
    </row>
    <row r="52" spans="1:5" x14ac:dyDescent="0.3">
      <c r="A52" s="15" t="s">
        <v>49</v>
      </c>
      <c r="B52" t="s">
        <v>38</v>
      </c>
      <c r="C52" s="1">
        <v>0.65</v>
      </c>
      <c r="D52" s="1">
        <v>47</v>
      </c>
      <c r="E52" s="23">
        <f t="shared" si="2"/>
        <v>27983.8</v>
      </c>
    </row>
    <row r="53" spans="1:5" x14ac:dyDescent="0.3">
      <c r="A53" s="15" t="s">
        <v>50</v>
      </c>
      <c r="B53" t="s">
        <v>38</v>
      </c>
      <c r="C53" s="1">
        <v>1.5</v>
      </c>
      <c r="D53" s="1">
        <v>23</v>
      </c>
      <c r="E53" s="23">
        <f t="shared" si="2"/>
        <v>31602</v>
      </c>
    </row>
    <row r="54" spans="1:5" x14ac:dyDescent="0.3">
      <c r="A54" s="15" t="s">
        <v>51</v>
      </c>
      <c r="B54" t="s">
        <v>38</v>
      </c>
      <c r="C54" s="1">
        <v>0.6</v>
      </c>
      <c r="D54" s="1">
        <v>20</v>
      </c>
      <c r="E54" s="23">
        <f t="shared" si="2"/>
        <v>10992</v>
      </c>
    </row>
    <row r="55" spans="1:5" x14ac:dyDescent="0.3">
      <c r="A55" s="15" t="s">
        <v>52</v>
      </c>
      <c r="B55" t="s">
        <v>38</v>
      </c>
      <c r="C55" s="1">
        <v>0.15</v>
      </c>
      <c r="D55" s="1">
        <v>10</v>
      </c>
      <c r="E55" s="23">
        <f t="shared" si="2"/>
        <v>1374</v>
      </c>
    </row>
    <row r="56" spans="1:5" x14ac:dyDescent="0.3">
      <c r="A56" s="15"/>
      <c r="E56" s="14"/>
    </row>
    <row r="57" spans="1:5" x14ac:dyDescent="0.3">
      <c r="A57" s="18" t="s">
        <v>53</v>
      </c>
      <c r="B57" s="7"/>
      <c r="C57" s="7"/>
      <c r="D57" s="7"/>
      <c r="E57" s="26">
        <f>SUM(E44:E56)</f>
        <v>164925.79999999999</v>
      </c>
    </row>
    <row r="58" spans="1:5" x14ac:dyDescent="0.3">
      <c r="A58" s="15"/>
      <c r="E58" s="14"/>
    </row>
    <row r="59" spans="1:5" x14ac:dyDescent="0.3">
      <c r="A59" s="15"/>
      <c r="E59" s="14"/>
    </row>
    <row r="60" spans="1:5" x14ac:dyDescent="0.3">
      <c r="A60" s="18" t="s">
        <v>54</v>
      </c>
      <c r="B60" s="9" t="s">
        <v>1</v>
      </c>
      <c r="C60" s="9" t="s">
        <v>31</v>
      </c>
      <c r="D60" s="9" t="s">
        <v>32</v>
      </c>
      <c r="E60" s="22" t="s">
        <v>33</v>
      </c>
    </row>
    <row r="61" spans="1:5" x14ac:dyDescent="0.3">
      <c r="A61" s="15" t="s">
        <v>55</v>
      </c>
      <c r="B61" t="s">
        <v>34</v>
      </c>
      <c r="C61" s="1"/>
      <c r="E61" s="23">
        <f t="shared" ref="E61:E62" si="3">+C61*D61*$C$9</f>
        <v>0</v>
      </c>
    </row>
    <row r="62" spans="1:5" x14ac:dyDescent="0.3">
      <c r="A62" s="15" t="s">
        <v>103</v>
      </c>
      <c r="B62" t="s">
        <v>34</v>
      </c>
      <c r="C62" s="1"/>
      <c r="E62" s="23">
        <f t="shared" si="3"/>
        <v>0</v>
      </c>
    </row>
    <row r="63" spans="1:5" x14ac:dyDescent="0.3">
      <c r="A63" s="15" t="s">
        <v>56</v>
      </c>
      <c r="B63" t="s">
        <v>34</v>
      </c>
      <c r="C63" s="1">
        <v>100</v>
      </c>
      <c r="D63" s="1">
        <v>0.7</v>
      </c>
      <c r="E63" s="23">
        <f>+C63*D63*$C$9</f>
        <v>64120</v>
      </c>
    </row>
    <row r="64" spans="1:5" x14ac:dyDescent="0.3">
      <c r="A64" s="15" t="s">
        <v>57</v>
      </c>
      <c r="B64" t="s">
        <v>34</v>
      </c>
      <c r="C64" s="1"/>
      <c r="D64" s="1"/>
      <c r="E64" s="23">
        <f t="shared" ref="E64:E66" si="4">+C64*D64*$C$9</f>
        <v>0</v>
      </c>
    </row>
    <row r="65" spans="1:5" x14ac:dyDescent="0.3">
      <c r="A65" s="15" t="s">
        <v>58</v>
      </c>
      <c r="B65" t="s">
        <v>34</v>
      </c>
      <c r="C65" s="1"/>
      <c r="D65" s="1"/>
      <c r="E65" s="23">
        <f t="shared" si="4"/>
        <v>0</v>
      </c>
    </row>
    <row r="66" spans="1:5" x14ac:dyDescent="0.3">
      <c r="A66" s="15" t="s">
        <v>59</v>
      </c>
      <c r="B66" t="s">
        <v>38</v>
      </c>
      <c r="C66" s="1">
        <v>0.7</v>
      </c>
      <c r="D66" s="1">
        <v>20</v>
      </c>
      <c r="E66" s="23">
        <f t="shared" si="4"/>
        <v>12824</v>
      </c>
    </row>
    <row r="67" spans="1:5" x14ac:dyDescent="0.3">
      <c r="A67" s="15" t="s">
        <v>60</v>
      </c>
      <c r="B67" t="s">
        <v>34</v>
      </c>
      <c r="C67" s="1">
        <v>200</v>
      </c>
      <c r="D67" s="1">
        <v>0.57999999999999996</v>
      </c>
      <c r="E67" s="23">
        <f>+C67*D67*$C$9</f>
        <v>106255.99999999999</v>
      </c>
    </row>
    <row r="68" spans="1:5" x14ac:dyDescent="0.3">
      <c r="A68" s="15"/>
      <c r="E68" s="14"/>
    </row>
    <row r="69" spans="1:5" x14ac:dyDescent="0.3">
      <c r="A69" s="18" t="s">
        <v>61</v>
      </c>
      <c r="B69" s="7"/>
      <c r="C69" s="7"/>
      <c r="D69" s="7"/>
      <c r="E69" s="26">
        <f>SUM(E61:E68)</f>
        <v>183200</v>
      </c>
    </row>
    <row r="70" spans="1:5" x14ac:dyDescent="0.3">
      <c r="A70" s="15"/>
      <c r="E70" s="14"/>
    </row>
    <row r="71" spans="1:5" x14ac:dyDescent="0.3">
      <c r="A71" s="15"/>
      <c r="B71" s="6"/>
      <c r="C71" s="6"/>
      <c r="D71" s="6"/>
      <c r="E71" s="27"/>
    </row>
    <row r="72" spans="1:5" x14ac:dyDescent="0.3">
      <c r="A72" s="18" t="s">
        <v>62</v>
      </c>
      <c r="B72" s="9" t="s">
        <v>1</v>
      </c>
      <c r="C72" s="9" t="s">
        <v>31</v>
      </c>
      <c r="D72" s="9" t="s">
        <v>32</v>
      </c>
      <c r="E72" s="22" t="s">
        <v>33</v>
      </c>
    </row>
    <row r="73" spans="1:5" x14ac:dyDescent="0.3">
      <c r="A73" s="15" t="s">
        <v>63</v>
      </c>
      <c r="B73" t="s">
        <v>38</v>
      </c>
      <c r="C73" s="1">
        <v>1</v>
      </c>
      <c r="D73" s="1">
        <v>20</v>
      </c>
      <c r="E73" s="23">
        <f>+C73*D73*$C$9</f>
        <v>18320</v>
      </c>
    </row>
    <row r="74" spans="1:5" x14ac:dyDescent="0.3">
      <c r="A74" s="15" t="s">
        <v>64</v>
      </c>
      <c r="B74" t="s">
        <v>38</v>
      </c>
      <c r="E74" s="23">
        <f t="shared" ref="E74:E75" si="5">+C74*D74*$C$9</f>
        <v>0</v>
      </c>
    </row>
    <row r="75" spans="1:5" x14ac:dyDescent="0.3">
      <c r="A75" s="15" t="s">
        <v>65</v>
      </c>
      <c r="B75" t="s">
        <v>38</v>
      </c>
      <c r="E75" s="23">
        <f t="shared" si="5"/>
        <v>0</v>
      </c>
    </row>
    <row r="76" spans="1:5" x14ac:dyDescent="0.3">
      <c r="A76" s="15"/>
      <c r="E76" s="14"/>
    </row>
    <row r="77" spans="1:5" x14ac:dyDescent="0.3">
      <c r="A77" s="18" t="s">
        <v>87</v>
      </c>
      <c r="B77" s="7"/>
      <c r="C77" s="7"/>
      <c r="D77" s="7"/>
      <c r="E77" s="24">
        <f>SUM(E73:E76)</f>
        <v>18320</v>
      </c>
    </row>
    <row r="78" spans="1:5" x14ac:dyDescent="0.3">
      <c r="A78" s="15"/>
      <c r="E78" s="14"/>
    </row>
    <row r="79" spans="1:5" x14ac:dyDescent="0.3">
      <c r="A79" s="18" t="s">
        <v>66</v>
      </c>
      <c r="B79" s="9" t="s">
        <v>1</v>
      </c>
      <c r="C79" s="9" t="s">
        <v>31</v>
      </c>
      <c r="D79" s="9" t="s">
        <v>32</v>
      </c>
      <c r="E79" s="22" t="s">
        <v>33</v>
      </c>
    </row>
    <row r="80" spans="1:5" x14ac:dyDescent="0.3">
      <c r="A80" s="15" t="s">
        <v>67</v>
      </c>
      <c r="B80" t="s">
        <v>38</v>
      </c>
      <c r="C80" s="1">
        <v>150</v>
      </c>
      <c r="D80" s="1">
        <v>810</v>
      </c>
      <c r="E80" s="23">
        <f>+C80*D80</f>
        <v>121500</v>
      </c>
    </row>
    <row r="81" spans="1:5" x14ac:dyDescent="0.3">
      <c r="A81" s="15" t="s">
        <v>68</v>
      </c>
      <c r="B81" t="s">
        <v>38</v>
      </c>
      <c r="C81" s="1"/>
      <c r="E81" s="14"/>
    </row>
    <row r="82" spans="1:5" x14ac:dyDescent="0.3">
      <c r="A82" s="15" t="s">
        <v>69</v>
      </c>
      <c r="B82" t="s">
        <v>38</v>
      </c>
      <c r="C82" s="1">
        <v>3</v>
      </c>
      <c r="E82" s="14"/>
    </row>
    <row r="83" spans="1:5" x14ac:dyDescent="0.3">
      <c r="A83" s="15" t="s">
        <v>120</v>
      </c>
      <c r="B83" t="s">
        <v>86</v>
      </c>
      <c r="E83" s="23">
        <f>1031262*5*1/120</f>
        <v>42969.25</v>
      </c>
    </row>
    <row r="84" spans="1:5" x14ac:dyDescent="0.3">
      <c r="A84" s="15" t="s">
        <v>70</v>
      </c>
      <c r="E84" s="23"/>
    </row>
    <row r="85" spans="1:5" x14ac:dyDescent="0.3">
      <c r="A85" s="15" t="s">
        <v>121</v>
      </c>
      <c r="B85" t="s">
        <v>89</v>
      </c>
      <c r="E85" s="23">
        <f>10*C9</f>
        <v>9160</v>
      </c>
    </row>
    <row r="86" spans="1:5" x14ac:dyDescent="0.3">
      <c r="A86" s="15" t="s">
        <v>88</v>
      </c>
      <c r="D86" s="5"/>
      <c r="E86" s="23">
        <v>38000</v>
      </c>
    </row>
    <row r="87" spans="1:5" x14ac:dyDescent="0.3">
      <c r="A87" s="15" t="s">
        <v>128</v>
      </c>
      <c r="E87" s="23">
        <f>15*C9</f>
        <v>13740</v>
      </c>
    </row>
    <row r="88" spans="1:5" x14ac:dyDescent="0.3">
      <c r="A88" s="15"/>
      <c r="E88" s="14"/>
    </row>
    <row r="89" spans="1:5" x14ac:dyDescent="0.3">
      <c r="A89" s="18" t="s">
        <v>71</v>
      </c>
      <c r="B89" s="7"/>
      <c r="C89" s="7"/>
      <c r="D89" s="7"/>
      <c r="E89" s="26">
        <f>+E35+E38+E42+E57+E69+E77+E80+E81+E82+E83+E84+E85+E86+E87</f>
        <v>1128359.45</v>
      </c>
    </row>
    <row r="90" spans="1:5" x14ac:dyDescent="0.3">
      <c r="A90" s="15"/>
      <c r="E90" s="14"/>
    </row>
    <row r="91" spans="1:5" x14ac:dyDescent="0.3">
      <c r="A91" s="18" t="s">
        <v>72</v>
      </c>
      <c r="B91" s="9" t="s">
        <v>1</v>
      </c>
      <c r="C91" s="9" t="s">
        <v>31</v>
      </c>
      <c r="D91" s="9" t="s">
        <v>32</v>
      </c>
      <c r="E91" s="22" t="s">
        <v>33</v>
      </c>
    </row>
    <row r="92" spans="1:5" x14ac:dyDescent="0.3">
      <c r="A92" s="15" t="s">
        <v>94</v>
      </c>
      <c r="B92" t="s">
        <v>34</v>
      </c>
      <c r="C92" s="1">
        <f>2%*C7</f>
        <v>152</v>
      </c>
      <c r="D92" s="1">
        <f>+C10</f>
        <v>400</v>
      </c>
      <c r="E92" s="23">
        <f>+C92*D92</f>
        <v>60800</v>
      </c>
    </row>
    <row r="93" spans="1:5" x14ac:dyDescent="0.3">
      <c r="A93" s="15" t="s">
        <v>83</v>
      </c>
      <c r="B93" t="s">
        <v>34</v>
      </c>
      <c r="C93" s="1">
        <f>1%*C7</f>
        <v>76</v>
      </c>
      <c r="D93" s="1">
        <f>+C10</f>
        <v>400</v>
      </c>
      <c r="E93" s="23">
        <f t="shared" ref="E93:E95" si="6">+C93*D93</f>
        <v>30400</v>
      </c>
    </row>
    <row r="94" spans="1:5" x14ac:dyDescent="0.3">
      <c r="A94" s="15" t="s">
        <v>81</v>
      </c>
      <c r="B94" t="s">
        <v>34</v>
      </c>
      <c r="C94" s="1">
        <v>750</v>
      </c>
      <c r="D94" s="1">
        <f>+C10</f>
        <v>400</v>
      </c>
      <c r="E94" s="23">
        <f t="shared" si="6"/>
        <v>300000</v>
      </c>
    </row>
    <row r="95" spans="1:5" x14ac:dyDescent="0.3">
      <c r="A95" s="15" t="s">
        <v>82</v>
      </c>
      <c r="B95" t="s">
        <v>34</v>
      </c>
      <c r="C95" s="1">
        <v>1500</v>
      </c>
      <c r="D95" s="1">
        <f>+C10</f>
        <v>400</v>
      </c>
      <c r="E95" s="23">
        <f t="shared" si="6"/>
        <v>600000</v>
      </c>
    </row>
    <row r="96" spans="1:5" x14ac:dyDescent="0.3">
      <c r="A96" s="15"/>
      <c r="C96" s="1"/>
      <c r="D96" s="1"/>
      <c r="E96" s="14"/>
    </row>
    <row r="97" spans="1:5" x14ac:dyDescent="0.3">
      <c r="A97" s="18" t="s">
        <v>90</v>
      </c>
      <c r="B97" s="7"/>
      <c r="C97" s="7"/>
      <c r="D97" s="7"/>
      <c r="E97" s="26">
        <f>SUM(E92:E96)</f>
        <v>991200</v>
      </c>
    </row>
    <row r="98" spans="1:5" x14ac:dyDescent="0.3">
      <c r="A98" s="15"/>
      <c r="E98" s="28"/>
    </row>
    <row r="99" spans="1:5" x14ac:dyDescent="0.3">
      <c r="A99" s="29" t="s">
        <v>73</v>
      </c>
      <c r="B99" s="7"/>
      <c r="C99" s="7"/>
      <c r="D99" s="7"/>
      <c r="E99" s="30">
        <f>+E97+E89</f>
        <v>2119559.4500000002</v>
      </c>
    </row>
    <row r="100" spans="1:5" x14ac:dyDescent="0.3">
      <c r="A100" s="15" t="s">
        <v>74</v>
      </c>
      <c r="E100" s="20">
        <f>50*C9</f>
        <v>45800</v>
      </c>
    </row>
    <row r="101" spans="1:5" x14ac:dyDescent="0.3">
      <c r="A101" s="15" t="s">
        <v>75</v>
      </c>
      <c r="E101" s="23">
        <f>40*C9</f>
        <v>36640</v>
      </c>
    </row>
    <row r="102" spans="1:5" x14ac:dyDescent="0.3">
      <c r="A102" s="15"/>
      <c r="E102" s="14"/>
    </row>
    <row r="103" spans="1:5" x14ac:dyDescent="0.3">
      <c r="A103" s="18" t="s">
        <v>111</v>
      </c>
      <c r="B103" s="7"/>
      <c r="C103" s="7"/>
      <c r="D103" s="7"/>
      <c r="E103" s="26">
        <f>+E99+E100+E101</f>
        <v>2201999.4500000002</v>
      </c>
    </row>
    <row r="104" spans="1:5" x14ac:dyDescent="0.3">
      <c r="A104" s="15"/>
      <c r="E104" s="14"/>
    </row>
    <row r="105" spans="1:5" x14ac:dyDescent="0.3">
      <c r="A105" s="66" t="s">
        <v>105</v>
      </c>
      <c r="B105" s="50"/>
      <c r="C105" s="50"/>
      <c r="D105" s="50"/>
      <c r="E105" s="77"/>
    </row>
    <row r="106" spans="1:5" x14ac:dyDescent="0.3">
      <c r="A106" s="31"/>
      <c r="B106" s="32"/>
      <c r="C106" s="32"/>
      <c r="D106" s="49" t="s">
        <v>77</v>
      </c>
      <c r="E106" s="49"/>
    </row>
    <row r="107" spans="1:5" x14ac:dyDescent="0.3">
      <c r="A107" s="31" t="s">
        <v>76</v>
      </c>
      <c r="B107" s="32"/>
      <c r="C107" s="32"/>
      <c r="D107" s="12">
        <f>+C16-E99</f>
        <v>627840.54999999981</v>
      </c>
      <c r="E107" s="13">
        <f>+D107/$C$9</f>
        <v>685.41544759825308</v>
      </c>
    </row>
    <row r="108" spans="1:5" x14ac:dyDescent="0.3">
      <c r="A108" s="31" t="s">
        <v>78</v>
      </c>
      <c r="B108" s="32"/>
      <c r="C108" s="32"/>
      <c r="D108" s="12">
        <f>+D107-E100-E101</f>
        <v>545400.54999999981</v>
      </c>
      <c r="E108" s="13">
        <f>+D108/$C$9</f>
        <v>595.41544759825308</v>
      </c>
    </row>
    <row r="109" spans="1:5" x14ac:dyDescent="0.3">
      <c r="A109" s="31" t="s">
        <v>79</v>
      </c>
      <c r="B109" s="32"/>
      <c r="C109" s="32"/>
      <c r="D109" s="39">
        <f>+D108/E99</f>
        <v>0.25731788273265926</v>
      </c>
      <c r="E109" s="39"/>
    </row>
    <row r="110" spans="1:5" x14ac:dyDescent="0.3">
      <c r="A110" s="33" t="s">
        <v>80</v>
      </c>
      <c r="B110" s="34"/>
      <c r="C110" s="34" t="s">
        <v>4</v>
      </c>
      <c r="D110" s="40">
        <f>+E103/C17</f>
        <v>6091.2847856154913</v>
      </c>
      <c r="E110" s="40"/>
    </row>
    <row r="112" spans="1:5" x14ac:dyDescent="0.3">
      <c r="A112" t="s">
        <v>106</v>
      </c>
    </row>
    <row r="113" spans="1:7" x14ac:dyDescent="0.3">
      <c r="A113" s="38" t="s">
        <v>124</v>
      </c>
      <c r="B113" s="38"/>
      <c r="C113" s="38"/>
      <c r="D113" s="38"/>
      <c r="E113" s="38"/>
      <c r="F113" s="38"/>
      <c r="G113" s="38"/>
    </row>
    <row r="114" spans="1:7" x14ac:dyDescent="0.3">
      <c r="A114" t="s">
        <v>109</v>
      </c>
    </row>
  </sheetData>
  <mergeCells count="10">
    <mergeCell ref="A1:E1"/>
    <mergeCell ref="A2:E2"/>
    <mergeCell ref="A3:E3"/>
    <mergeCell ref="A113:G113"/>
    <mergeCell ref="D109:E109"/>
    <mergeCell ref="D110:E110"/>
    <mergeCell ref="A4:C4"/>
    <mergeCell ref="A19:C19"/>
    <mergeCell ref="A105:E105"/>
    <mergeCell ref="D106:E10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2"/>
  <sheetViews>
    <sheetView zoomScale="124" zoomScaleNormal="124" workbookViewId="0">
      <selection activeCell="G1" sqref="G1"/>
    </sheetView>
  </sheetViews>
  <sheetFormatPr baseColWidth="10" defaultColWidth="9.109375" defaultRowHeight="14.4" x14ac:dyDescent="0.3"/>
  <cols>
    <col min="1" max="1" width="49.88671875" bestFit="1" customWidth="1"/>
    <col min="2" max="2" width="10.88671875" bestFit="1" customWidth="1"/>
    <col min="3" max="3" width="12.88671875" bestFit="1" customWidth="1"/>
    <col min="4" max="4" width="13.6640625" bestFit="1" customWidth="1"/>
    <col min="5" max="5" width="14.5546875" customWidth="1"/>
  </cols>
  <sheetData>
    <row r="1" spans="1:7" ht="61.8" customHeight="1" x14ac:dyDescent="0.3">
      <c r="A1" s="73"/>
      <c r="B1" s="73"/>
      <c r="C1" s="73"/>
      <c r="D1" s="73"/>
      <c r="E1" s="74"/>
      <c r="F1" s="52"/>
      <c r="G1" s="52"/>
    </row>
    <row r="2" spans="1:7" ht="15.6" x14ac:dyDescent="0.3">
      <c r="A2" s="75" t="s">
        <v>95</v>
      </c>
      <c r="B2" s="51"/>
      <c r="C2" s="51"/>
      <c r="D2" s="51"/>
      <c r="E2" s="43"/>
      <c r="F2" s="52"/>
      <c r="G2" s="52"/>
    </row>
    <row r="3" spans="1:7" ht="18" x14ac:dyDescent="0.35">
      <c r="A3" s="69" t="s">
        <v>127</v>
      </c>
      <c r="B3" s="53"/>
      <c r="C3" s="53"/>
      <c r="D3" s="53"/>
      <c r="E3" s="76"/>
      <c r="F3" s="52"/>
      <c r="G3" s="52"/>
    </row>
    <row r="4" spans="1:7" x14ac:dyDescent="0.3">
      <c r="A4" s="54" t="s">
        <v>16</v>
      </c>
      <c r="B4" s="54"/>
      <c r="C4" s="54"/>
      <c r="D4" s="52"/>
      <c r="E4" s="14"/>
      <c r="F4" s="52"/>
      <c r="G4" s="52"/>
    </row>
    <row r="5" spans="1:7" x14ac:dyDescent="0.3">
      <c r="A5" s="52"/>
      <c r="B5" s="52"/>
      <c r="C5" s="52"/>
      <c r="D5" s="52"/>
      <c r="E5" s="14"/>
      <c r="F5" s="52"/>
      <c r="G5" s="52"/>
    </row>
    <row r="6" spans="1:7" x14ac:dyDescent="0.3">
      <c r="A6" s="70" t="s">
        <v>0</v>
      </c>
      <c r="B6" s="55" t="s">
        <v>1</v>
      </c>
      <c r="C6" s="55" t="s">
        <v>2</v>
      </c>
      <c r="D6" s="52"/>
      <c r="E6" s="14"/>
      <c r="F6" s="52"/>
      <c r="G6" s="52"/>
    </row>
    <row r="7" spans="1:7" x14ac:dyDescent="0.3">
      <c r="A7" s="52" t="s">
        <v>97</v>
      </c>
      <c r="B7" s="56" t="s">
        <v>4</v>
      </c>
      <c r="C7" s="57">
        <v>7600</v>
      </c>
      <c r="D7" s="52"/>
      <c r="E7" s="14"/>
      <c r="F7" s="52"/>
      <c r="G7" s="52"/>
    </row>
    <row r="8" spans="1:7" x14ac:dyDescent="0.3">
      <c r="A8" s="52" t="s">
        <v>99</v>
      </c>
      <c r="B8" s="56" t="s">
        <v>5</v>
      </c>
      <c r="C8" s="58">
        <f>+C10/C9</f>
        <v>0.4366812227074236</v>
      </c>
      <c r="D8" s="52"/>
      <c r="E8" s="14"/>
      <c r="F8" s="52"/>
      <c r="G8" s="52"/>
    </row>
    <row r="9" spans="1:7" x14ac:dyDescent="0.3">
      <c r="A9" s="52" t="s">
        <v>3</v>
      </c>
      <c r="B9" s="56" t="s">
        <v>6</v>
      </c>
      <c r="C9" s="57">
        <v>916</v>
      </c>
      <c r="D9" s="52"/>
      <c r="E9" s="14"/>
      <c r="F9" s="52"/>
      <c r="G9" s="52"/>
    </row>
    <row r="10" spans="1:7" x14ac:dyDescent="0.3">
      <c r="A10" s="52" t="s">
        <v>98</v>
      </c>
      <c r="B10" s="56" t="s">
        <v>7</v>
      </c>
      <c r="C10" s="57">
        <v>400</v>
      </c>
      <c r="D10" s="52"/>
      <c r="E10" s="14"/>
      <c r="F10" s="52"/>
      <c r="G10" s="52"/>
    </row>
    <row r="11" spans="1:7" x14ac:dyDescent="0.3">
      <c r="A11" s="62" t="s">
        <v>13</v>
      </c>
      <c r="B11" s="59" t="s">
        <v>8</v>
      </c>
      <c r="C11" s="60">
        <f>+C7*C10</f>
        <v>3040000</v>
      </c>
      <c r="D11" s="52"/>
      <c r="E11" s="14"/>
      <c r="F11" s="52"/>
      <c r="G11" s="52"/>
    </row>
    <row r="12" spans="1:7" x14ac:dyDescent="0.3">
      <c r="A12" s="52" t="s">
        <v>9</v>
      </c>
      <c r="B12" s="56" t="s">
        <v>10</v>
      </c>
      <c r="C12" s="17">
        <v>7.0000000000000007E-2</v>
      </c>
      <c r="D12" s="52"/>
      <c r="E12" s="14"/>
      <c r="F12" s="52"/>
      <c r="G12" s="52"/>
    </row>
    <row r="13" spans="1:7" x14ac:dyDescent="0.3">
      <c r="A13" s="52" t="s">
        <v>9</v>
      </c>
      <c r="B13" s="56" t="s">
        <v>8</v>
      </c>
      <c r="C13" s="57">
        <f>+(C7+(C7*10%))*C12*C10</f>
        <v>234080.00000000003</v>
      </c>
      <c r="D13" s="52"/>
      <c r="E13" s="14"/>
      <c r="F13" s="52"/>
      <c r="G13" s="52"/>
    </row>
    <row r="14" spans="1:7" x14ac:dyDescent="0.3">
      <c r="A14" s="52" t="s">
        <v>91</v>
      </c>
      <c r="B14" s="56" t="s">
        <v>12</v>
      </c>
      <c r="C14" s="57">
        <v>7000</v>
      </c>
      <c r="D14" s="52"/>
      <c r="E14" s="14"/>
      <c r="F14" s="52"/>
      <c r="G14" s="52"/>
    </row>
    <row r="15" spans="1:7" x14ac:dyDescent="0.3">
      <c r="A15" s="52" t="s">
        <v>11</v>
      </c>
      <c r="B15" s="56" t="s">
        <v>8</v>
      </c>
      <c r="C15" s="57">
        <f>+C14*(((C7+(C7*10%))/1000))</f>
        <v>58519.999999999993</v>
      </c>
      <c r="D15" s="52"/>
      <c r="E15" s="14"/>
      <c r="F15" s="52"/>
      <c r="G15" s="52"/>
    </row>
    <row r="16" spans="1:7" x14ac:dyDescent="0.3">
      <c r="A16" s="62" t="s">
        <v>14</v>
      </c>
      <c r="B16" s="59" t="s">
        <v>15</v>
      </c>
      <c r="C16" s="60">
        <f>+C11-C13-C15</f>
        <v>2747400</v>
      </c>
      <c r="D16" s="52"/>
      <c r="E16" s="14"/>
      <c r="F16" s="52"/>
      <c r="G16" s="52"/>
    </row>
    <row r="17" spans="1:7" x14ac:dyDescent="0.3">
      <c r="A17" s="52" t="s">
        <v>101</v>
      </c>
      <c r="B17" s="56" t="s">
        <v>7</v>
      </c>
      <c r="C17" s="61">
        <f>+C16/C7</f>
        <v>361.5</v>
      </c>
      <c r="D17" s="52"/>
      <c r="E17" s="14"/>
      <c r="F17" s="52"/>
      <c r="G17" s="52"/>
    </row>
    <row r="18" spans="1:7" x14ac:dyDescent="0.3">
      <c r="A18" s="52"/>
      <c r="B18" s="52"/>
      <c r="C18" s="52"/>
      <c r="D18" s="52"/>
      <c r="E18" s="14"/>
      <c r="F18" s="52"/>
      <c r="G18" s="52"/>
    </row>
    <row r="19" spans="1:7" x14ac:dyDescent="0.3">
      <c r="A19" s="54" t="s">
        <v>17</v>
      </c>
      <c r="B19" s="54"/>
      <c r="C19" s="54"/>
      <c r="D19" s="52"/>
      <c r="E19" s="14"/>
      <c r="F19" s="52"/>
      <c r="G19" s="52"/>
    </row>
    <row r="20" spans="1:7" x14ac:dyDescent="0.3">
      <c r="A20" s="62" t="s">
        <v>0</v>
      </c>
      <c r="B20" s="59" t="s">
        <v>1</v>
      </c>
      <c r="C20" s="62" t="s">
        <v>2</v>
      </c>
      <c r="D20" s="52"/>
      <c r="E20" s="14"/>
      <c r="F20" s="52"/>
      <c r="G20" s="52"/>
    </row>
    <row r="21" spans="1:7" x14ac:dyDescent="0.3">
      <c r="A21" s="70" t="s">
        <v>18</v>
      </c>
      <c r="B21" s="55" t="s">
        <v>8</v>
      </c>
      <c r="C21" s="70">
        <f>1130*45</f>
        <v>50850</v>
      </c>
      <c r="D21" s="52"/>
      <c r="E21" s="14"/>
      <c r="F21" s="52"/>
      <c r="G21" s="52"/>
    </row>
    <row r="22" spans="1:7" x14ac:dyDescent="0.3">
      <c r="A22" s="71" t="s">
        <v>19</v>
      </c>
      <c r="B22" s="64" t="s">
        <v>21</v>
      </c>
      <c r="C22" s="71" t="s">
        <v>22</v>
      </c>
      <c r="D22" s="64" t="s">
        <v>24</v>
      </c>
      <c r="E22" s="19" t="s">
        <v>23</v>
      </c>
      <c r="F22" s="52"/>
      <c r="G22" s="52"/>
    </row>
    <row r="23" spans="1:7" x14ac:dyDescent="0.3">
      <c r="A23" s="52" t="s">
        <v>20</v>
      </c>
      <c r="B23" s="56">
        <v>2</v>
      </c>
      <c r="C23" s="56">
        <v>1</v>
      </c>
      <c r="D23" s="56">
        <f>+$C$21</f>
        <v>50850</v>
      </c>
      <c r="E23" s="20">
        <f>+B23*C23*D23</f>
        <v>101700</v>
      </c>
      <c r="F23" s="52"/>
      <c r="G23" s="52"/>
    </row>
    <row r="24" spans="1:7" x14ac:dyDescent="0.3">
      <c r="A24" s="52" t="s">
        <v>113</v>
      </c>
      <c r="B24" s="56">
        <v>2</v>
      </c>
      <c r="C24" s="56">
        <v>0.6</v>
      </c>
      <c r="D24" s="56">
        <f t="shared" ref="D24:D33" si="0">+$C$21</f>
        <v>50850</v>
      </c>
      <c r="E24" s="20">
        <f>+B24*C24*D24</f>
        <v>61020</v>
      </c>
      <c r="F24" s="52"/>
      <c r="G24" s="52"/>
    </row>
    <row r="25" spans="1:7" x14ac:dyDescent="0.3">
      <c r="A25" s="52" t="s">
        <v>115</v>
      </c>
      <c r="B25" s="56">
        <v>1</v>
      </c>
      <c r="C25" s="56">
        <v>0.25</v>
      </c>
      <c r="D25" s="56">
        <f t="shared" si="0"/>
        <v>50850</v>
      </c>
      <c r="E25" s="20">
        <f>+B25*C25*D25</f>
        <v>12712.5</v>
      </c>
      <c r="F25" s="52"/>
      <c r="G25" s="52"/>
    </row>
    <row r="26" spans="1:7" x14ac:dyDescent="0.3">
      <c r="A26" s="52" t="s">
        <v>28</v>
      </c>
      <c r="B26" s="56">
        <v>2</v>
      </c>
      <c r="C26" s="56">
        <v>0.3</v>
      </c>
      <c r="D26" s="56">
        <f t="shared" si="0"/>
        <v>50850</v>
      </c>
      <c r="E26" s="20">
        <f t="shared" ref="E26:E33" si="1">+B26*C26*D26</f>
        <v>30510</v>
      </c>
      <c r="F26" s="52"/>
      <c r="G26" s="52"/>
    </row>
    <row r="27" spans="1:7" x14ac:dyDescent="0.3">
      <c r="A27" s="52" t="s">
        <v>25</v>
      </c>
      <c r="B27" s="56">
        <v>1</v>
      </c>
      <c r="C27" s="56">
        <v>1</v>
      </c>
      <c r="D27" s="56">
        <f t="shared" si="0"/>
        <v>50850</v>
      </c>
      <c r="E27" s="20">
        <f t="shared" si="1"/>
        <v>50850</v>
      </c>
      <c r="F27" s="52"/>
      <c r="G27" s="52"/>
    </row>
    <row r="28" spans="1:7" x14ac:dyDescent="0.3">
      <c r="A28" s="52" t="s">
        <v>122</v>
      </c>
      <c r="B28" s="56">
        <v>1</v>
      </c>
      <c r="C28" s="56">
        <v>1</v>
      </c>
      <c r="D28" s="56">
        <f t="shared" si="0"/>
        <v>50850</v>
      </c>
      <c r="E28" s="20">
        <f t="shared" si="1"/>
        <v>50850</v>
      </c>
      <c r="F28" s="52"/>
      <c r="G28" s="52"/>
    </row>
    <row r="29" spans="1:7" x14ac:dyDescent="0.3">
      <c r="A29" s="52" t="s">
        <v>116</v>
      </c>
      <c r="B29" s="56">
        <v>2</v>
      </c>
      <c r="C29" s="56">
        <v>0.3</v>
      </c>
      <c r="D29" s="56">
        <f t="shared" si="0"/>
        <v>50850</v>
      </c>
      <c r="E29" s="20">
        <f t="shared" si="1"/>
        <v>30510</v>
      </c>
      <c r="F29" s="52"/>
      <c r="G29" s="52"/>
    </row>
    <row r="30" spans="1:7" x14ac:dyDescent="0.3">
      <c r="A30" s="52" t="s">
        <v>118</v>
      </c>
      <c r="B30" s="56">
        <v>1</v>
      </c>
      <c r="C30" s="56">
        <v>0.3</v>
      </c>
      <c r="D30" s="56">
        <f t="shared" si="0"/>
        <v>50850</v>
      </c>
      <c r="E30" s="20">
        <f t="shared" si="1"/>
        <v>15255</v>
      </c>
      <c r="F30" s="52"/>
      <c r="G30" s="52"/>
    </row>
    <row r="31" spans="1:7" x14ac:dyDescent="0.3">
      <c r="A31" s="52" t="s">
        <v>107</v>
      </c>
      <c r="B31" s="56">
        <v>1</v>
      </c>
      <c r="C31" s="56">
        <v>0.6</v>
      </c>
      <c r="D31" s="56">
        <f t="shared" si="0"/>
        <v>50850</v>
      </c>
      <c r="E31" s="20">
        <f t="shared" si="1"/>
        <v>30510</v>
      </c>
      <c r="F31" s="52"/>
      <c r="G31" s="52"/>
    </row>
    <row r="32" spans="1:7" x14ac:dyDescent="0.3">
      <c r="A32" s="52" t="s">
        <v>26</v>
      </c>
      <c r="B32" s="56">
        <v>1</v>
      </c>
      <c r="C32" s="56">
        <v>0.25</v>
      </c>
      <c r="D32" s="56">
        <f t="shared" si="0"/>
        <v>50850</v>
      </c>
      <c r="E32" s="20">
        <f t="shared" si="1"/>
        <v>12712.5</v>
      </c>
      <c r="F32" s="52"/>
      <c r="G32" s="52"/>
    </row>
    <row r="33" spans="1:7" x14ac:dyDescent="0.3">
      <c r="A33" s="52" t="s">
        <v>27</v>
      </c>
      <c r="B33" s="56">
        <v>2</v>
      </c>
      <c r="C33" s="56">
        <v>0.3</v>
      </c>
      <c r="D33" s="56">
        <f t="shared" si="0"/>
        <v>50850</v>
      </c>
      <c r="E33" s="20">
        <f t="shared" si="1"/>
        <v>30510</v>
      </c>
      <c r="F33" s="52"/>
      <c r="G33" s="52"/>
    </row>
    <row r="34" spans="1:7" x14ac:dyDescent="0.3">
      <c r="A34" s="52"/>
      <c r="B34" s="52"/>
      <c r="C34" s="52"/>
      <c r="D34" s="52"/>
      <c r="E34" s="14"/>
      <c r="F34" s="52"/>
      <c r="G34" s="52"/>
    </row>
    <row r="35" spans="1:7" x14ac:dyDescent="0.3">
      <c r="A35" s="71" t="s">
        <v>29</v>
      </c>
      <c r="B35" s="71"/>
      <c r="C35" s="71"/>
      <c r="D35" s="71"/>
      <c r="E35" s="21">
        <f>SUM(E23:E34)</f>
        <v>427140</v>
      </c>
      <c r="F35" s="52"/>
      <c r="G35" s="52"/>
    </row>
    <row r="36" spans="1:7" x14ac:dyDescent="0.3">
      <c r="A36" s="52"/>
      <c r="B36" s="52"/>
      <c r="C36" s="52"/>
      <c r="D36" s="52"/>
      <c r="E36" s="14"/>
      <c r="F36" s="52"/>
      <c r="G36" s="52"/>
    </row>
    <row r="37" spans="1:7" x14ac:dyDescent="0.3">
      <c r="A37" s="71" t="s">
        <v>30</v>
      </c>
      <c r="B37" s="64" t="s">
        <v>1</v>
      </c>
      <c r="C37" s="64" t="s">
        <v>31</v>
      </c>
      <c r="D37" s="64" t="s">
        <v>32</v>
      </c>
      <c r="E37" s="22" t="s">
        <v>33</v>
      </c>
      <c r="F37" s="52"/>
      <c r="G37" s="52"/>
    </row>
    <row r="38" spans="1:7" x14ac:dyDescent="0.3">
      <c r="A38" s="52" t="s">
        <v>84</v>
      </c>
      <c r="B38" s="52" t="s">
        <v>34</v>
      </c>
      <c r="C38" s="56">
        <v>130</v>
      </c>
      <c r="D38" s="56">
        <f>+C10*2</f>
        <v>800</v>
      </c>
      <c r="E38" s="23">
        <f>+C38*D38</f>
        <v>104000</v>
      </c>
      <c r="F38" s="52"/>
      <c r="G38" s="52"/>
    </row>
    <row r="39" spans="1:7" x14ac:dyDescent="0.3">
      <c r="A39" s="71" t="s">
        <v>35</v>
      </c>
      <c r="B39" s="71"/>
      <c r="C39" s="71"/>
      <c r="D39" s="71"/>
      <c r="E39" s="19"/>
      <c r="F39" s="52"/>
      <c r="G39" s="52"/>
    </row>
    <row r="40" spans="1:7" x14ac:dyDescent="0.3">
      <c r="A40" s="52" t="s">
        <v>36</v>
      </c>
      <c r="B40" s="52" t="s">
        <v>38</v>
      </c>
      <c r="C40" s="56">
        <v>0.2</v>
      </c>
      <c r="D40" s="56">
        <v>7</v>
      </c>
      <c r="E40" s="23">
        <f>+C40*D40*$C$9</f>
        <v>1282.4000000000001</v>
      </c>
      <c r="F40" s="52"/>
      <c r="G40" s="52"/>
    </row>
    <row r="41" spans="1:7" x14ac:dyDescent="0.3">
      <c r="A41" s="52" t="s">
        <v>37</v>
      </c>
      <c r="B41" s="52" t="s">
        <v>38</v>
      </c>
      <c r="C41" s="56">
        <v>0.3</v>
      </c>
      <c r="D41" s="56">
        <v>15</v>
      </c>
      <c r="E41" s="23">
        <f>+C41*D41*$C$9</f>
        <v>4122</v>
      </c>
      <c r="F41" s="52"/>
      <c r="G41" s="52"/>
    </row>
    <row r="42" spans="1:7" x14ac:dyDescent="0.3">
      <c r="A42" s="71" t="s">
        <v>40</v>
      </c>
      <c r="B42" s="71"/>
      <c r="C42" s="71"/>
      <c r="D42" s="71"/>
      <c r="E42" s="24">
        <f>+E40+E41</f>
        <v>5404.4</v>
      </c>
      <c r="F42" s="52"/>
      <c r="G42" s="52"/>
    </row>
    <row r="43" spans="1:7" x14ac:dyDescent="0.3">
      <c r="A43" s="52"/>
      <c r="B43" s="52"/>
      <c r="C43" s="52"/>
      <c r="D43" s="52"/>
      <c r="E43" s="14"/>
      <c r="F43" s="52"/>
      <c r="G43" s="52"/>
    </row>
    <row r="44" spans="1:7" x14ac:dyDescent="0.3">
      <c r="A44" s="71" t="s">
        <v>39</v>
      </c>
      <c r="B44" s="64" t="s">
        <v>1</v>
      </c>
      <c r="C44" s="64" t="s">
        <v>31</v>
      </c>
      <c r="D44" s="64" t="s">
        <v>32</v>
      </c>
      <c r="E44" s="22" t="s">
        <v>33</v>
      </c>
      <c r="F44" s="52"/>
      <c r="G44" s="52"/>
    </row>
    <row r="45" spans="1:7" x14ac:dyDescent="0.3">
      <c r="A45" s="52" t="s">
        <v>41</v>
      </c>
      <c r="B45" s="52" t="s">
        <v>38</v>
      </c>
      <c r="C45" s="52"/>
      <c r="D45" s="52"/>
      <c r="E45" s="23">
        <f>+C45*D45*$C$9</f>
        <v>0</v>
      </c>
      <c r="F45" s="52"/>
      <c r="G45" s="52"/>
    </row>
    <row r="46" spans="1:7" x14ac:dyDescent="0.3">
      <c r="A46" s="52" t="s">
        <v>42</v>
      </c>
      <c r="B46" s="52" t="s">
        <v>38</v>
      </c>
      <c r="C46" s="52"/>
      <c r="D46" s="52"/>
      <c r="E46" s="23">
        <f t="shared" ref="E46:E56" si="2">+C46*D46*$C$9</f>
        <v>0</v>
      </c>
      <c r="F46" s="52"/>
      <c r="G46" s="52"/>
    </row>
    <row r="47" spans="1:7" x14ac:dyDescent="0.3">
      <c r="A47" s="52" t="s">
        <v>43</v>
      </c>
      <c r="B47" s="52" t="s">
        <v>38</v>
      </c>
      <c r="C47" s="56">
        <v>1.2</v>
      </c>
      <c r="D47" s="25">
        <v>30</v>
      </c>
      <c r="E47" s="23">
        <f t="shared" si="2"/>
        <v>32976</v>
      </c>
      <c r="F47" s="52"/>
      <c r="G47" s="52"/>
    </row>
    <row r="48" spans="1:7" x14ac:dyDescent="0.3">
      <c r="A48" s="52" t="s">
        <v>44</v>
      </c>
      <c r="B48" s="52" t="s">
        <v>38</v>
      </c>
      <c r="C48" s="56">
        <v>5</v>
      </c>
      <c r="D48" s="56">
        <v>6</v>
      </c>
      <c r="E48" s="23">
        <f t="shared" si="2"/>
        <v>27480</v>
      </c>
      <c r="F48" s="52"/>
      <c r="G48" s="52"/>
    </row>
    <row r="49" spans="1:7" x14ac:dyDescent="0.3">
      <c r="A49" s="52" t="s">
        <v>45</v>
      </c>
      <c r="B49" s="52" t="s">
        <v>34</v>
      </c>
      <c r="C49" s="56"/>
      <c r="D49" s="52"/>
      <c r="E49" s="23">
        <f t="shared" si="2"/>
        <v>0</v>
      </c>
      <c r="F49" s="52"/>
      <c r="G49" s="52"/>
    </row>
    <row r="50" spans="1:7" x14ac:dyDescent="0.3">
      <c r="A50" s="52" t="s">
        <v>46</v>
      </c>
      <c r="B50" s="52" t="s">
        <v>38</v>
      </c>
      <c r="C50" s="56">
        <v>0.7</v>
      </c>
      <c r="D50" s="56">
        <v>16</v>
      </c>
      <c r="E50" s="23">
        <f t="shared" si="2"/>
        <v>10259.199999999999</v>
      </c>
      <c r="F50" s="52"/>
      <c r="G50" s="52"/>
    </row>
    <row r="51" spans="1:7" x14ac:dyDescent="0.3">
      <c r="A51" s="52" t="s">
        <v>47</v>
      </c>
      <c r="B51" s="52" t="s">
        <v>38</v>
      </c>
      <c r="C51" s="56">
        <v>0.5</v>
      </c>
      <c r="D51" s="56">
        <v>15</v>
      </c>
      <c r="E51" s="23">
        <f t="shared" si="2"/>
        <v>6870</v>
      </c>
      <c r="F51" s="52"/>
      <c r="G51" s="52"/>
    </row>
    <row r="52" spans="1:7" x14ac:dyDescent="0.3">
      <c r="A52" s="52" t="s">
        <v>48</v>
      </c>
      <c r="B52" s="52" t="s">
        <v>38</v>
      </c>
      <c r="C52" s="56">
        <v>2.8</v>
      </c>
      <c r="D52" s="56">
        <v>15</v>
      </c>
      <c r="E52" s="23">
        <f>+C52*D52*$C$9*0.4</f>
        <v>15388.800000000001</v>
      </c>
      <c r="F52" s="52"/>
      <c r="G52" s="52"/>
    </row>
    <row r="53" spans="1:7" x14ac:dyDescent="0.3">
      <c r="A53" s="52" t="s">
        <v>49</v>
      </c>
      <c r="B53" s="52" t="s">
        <v>38</v>
      </c>
      <c r="C53" s="56">
        <v>0.65</v>
      </c>
      <c r="D53" s="56">
        <v>47</v>
      </c>
      <c r="E53" s="23">
        <f t="shared" si="2"/>
        <v>27983.8</v>
      </c>
      <c r="F53" s="52"/>
      <c r="G53" s="52"/>
    </row>
    <row r="54" spans="1:7" x14ac:dyDescent="0.3">
      <c r="A54" s="52" t="s">
        <v>50</v>
      </c>
      <c r="B54" s="52" t="s">
        <v>38</v>
      </c>
      <c r="C54" s="56">
        <v>1.5</v>
      </c>
      <c r="D54" s="56">
        <v>23</v>
      </c>
      <c r="E54" s="23">
        <f t="shared" si="2"/>
        <v>31602</v>
      </c>
      <c r="F54" s="52"/>
      <c r="G54" s="52"/>
    </row>
    <row r="55" spans="1:7" x14ac:dyDescent="0.3">
      <c r="A55" s="52" t="s">
        <v>51</v>
      </c>
      <c r="B55" s="52" t="s">
        <v>38</v>
      </c>
      <c r="C55" s="56">
        <v>0.6</v>
      </c>
      <c r="D55" s="56">
        <v>20</v>
      </c>
      <c r="E55" s="23">
        <f t="shared" si="2"/>
        <v>10992</v>
      </c>
      <c r="F55" s="52"/>
      <c r="G55" s="52"/>
    </row>
    <row r="56" spans="1:7" x14ac:dyDescent="0.3">
      <c r="A56" s="52" t="s">
        <v>52</v>
      </c>
      <c r="B56" s="52" t="s">
        <v>38</v>
      </c>
      <c r="C56" s="56">
        <v>0.15</v>
      </c>
      <c r="D56" s="56">
        <v>10</v>
      </c>
      <c r="E56" s="23">
        <f t="shared" si="2"/>
        <v>1374</v>
      </c>
      <c r="F56" s="52"/>
      <c r="G56" s="52"/>
    </row>
    <row r="57" spans="1:7" x14ac:dyDescent="0.3">
      <c r="A57" s="52"/>
      <c r="B57" s="52"/>
      <c r="C57" s="52"/>
      <c r="D57" s="52"/>
      <c r="E57" s="14"/>
      <c r="F57" s="52"/>
      <c r="G57" s="52"/>
    </row>
    <row r="58" spans="1:7" x14ac:dyDescent="0.3">
      <c r="A58" s="71" t="s">
        <v>53</v>
      </c>
      <c r="B58" s="63"/>
      <c r="C58" s="63"/>
      <c r="D58" s="63"/>
      <c r="E58" s="26">
        <f>SUM(E45:E57)</f>
        <v>164925.79999999999</v>
      </c>
      <c r="F58" s="52"/>
      <c r="G58" s="52"/>
    </row>
    <row r="59" spans="1:7" x14ac:dyDescent="0.3">
      <c r="A59" s="52"/>
      <c r="B59" s="52"/>
      <c r="C59" s="52"/>
      <c r="D59" s="52"/>
      <c r="E59" s="14"/>
      <c r="F59" s="52"/>
      <c r="G59" s="52"/>
    </row>
    <row r="60" spans="1:7" x14ac:dyDescent="0.3">
      <c r="A60" s="52"/>
      <c r="B60" s="52"/>
      <c r="C60" s="52"/>
      <c r="D60" s="52"/>
      <c r="E60" s="14"/>
      <c r="F60" s="52"/>
      <c r="G60" s="52"/>
    </row>
    <row r="61" spans="1:7" x14ac:dyDescent="0.3">
      <c r="A61" s="71" t="s">
        <v>54</v>
      </c>
      <c r="B61" s="64" t="s">
        <v>1</v>
      </c>
      <c r="C61" s="64" t="s">
        <v>31</v>
      </c>
      <c r="D61" s="64" t="s">
        <v>32</v>
      </c>
      <c r="E61" s="22" t="s">
        <v>33</v>
      </c>
      <c r="F61" s="52"/>
      <c r="G61" s="52"/>
    </row>
    <row r="62" spans="1:7" x14ac:dyDescent="0.3">
      <c r="A62" s="52" t="s">
        <v>55</v>
      </c>
      <c r="B62" s="52" t="s">
        <v>34</v>
      </c>
      <c r="C62" s="56"/>
      <c r="D62" s="52"/>
      <c r="E62" s="23">
        <f t="shared" ref="E62:E63" si="3">+C62*D62*$C$9</f>
        <v>0</v>
      </c>
      <c r="F62" s="52"/>
      <c r="G62" s="52"/>
    </row>
    <row r="63" spans="1:7" x14ac:dyDescent="0.3">
      <c r="A63" s="52" t="s">
        <v>103</v>
      </c>
      <c r="B63" s="52" t="s">
        <v>34</v>
      </c>
      <c r="C63" s="56"/>
      <c r="D63" s="52"/>
      <c r="E63" s="23">
        <f t="shared" si="3"/>
        <v>0</v>
      </c>
      <c r="F63" s="52"/>
      <c r="G63" s="52"/>
    </row>
    <row r="64" spans="1:7" x14ac:dyDescent="0.3">
      <c r="A64" s="52" t="s">
        <v>56</v>
      </c>
      <c r="B64" s="52" t="s">
        <v>34</v>
      </c>
      <c r="C64" s="56">
        <v>100</v>
      </c>
      <c r="D64" s="56">
        <v>0.7</v>
      </c>
      <c r="E64" s="23">
        <f>+C64*D64*$C$9</f>
        <v>64120</v>
      </c>
      <c r="F64" s="52"/>
      <c r="G64" s="52"/>
    </row>
    <row r="65" spans="1:7" x14ac:dyDescent="0.3">
      <c r="A65" s="52" t="s">
        <v>57</v>
      </c>
      <c r="B65" s="52" t="s">
        <v>34</v>
      </c>
      <c r="C65" s="56"/>
      <c r="D65" s="56"/>
      <c r="E65" s="23">
        <f t="shared" ref="E65:E67" si="4">+C65*D65*$C$9</f>
        <v>0</v>
      </c>
      <c r="F65" s="52"/>
      <c r="G65" s="52"/>
    </row>
    <row r="66" spans="1:7" x14ac:dyDescent="0.3">
      <c r="A66" s="52" t="s">
        <v>58</v>
      </c>
      <c r="B66" s="52" t="s">
        <v>34</v>
      </c>
      <c r="C66" s="56"/>
      <c r="D66" s="56"/>
      <c r="E66" s="23">
        <f t="shared" si="4"/>
        <v>0</v>
      </c>
      <c r="F66" s="52"/>
      <c r="G66" s="52"/>
    </row>
    <row r="67" spans="1:7" x14ac:dyDescent="0.3">
      <c r="A67" s="52" t="s">
        <v>59</v>
      </c>
      <c r="B67" s="52" t="s">
        <v>38</v>
      </c>
      <c r="C67" s="56">
        <v>0.7</v>
      </c>
      <c r="D67" s="56">
        <v>20</v>
      </c>
      <c r="E67" s="23">
        <f t="shared" si="4"/>
        <v>12824</v>
      </c>
      <c r="F67" s="52"/>
      <c r="G67" s="52"/>
    </row>
    <row r="68" spans="1:7" x14ac:dyDescent="0.3">
      <c r="A68" s="52" t="s">
        <v>60</v>
      </c>
      <c r="B68" s="52" t="s">
        <v>34</v>
      </c>
      <c r="C68" s="56">
        <v>200</v>
      </c>
      <c r="D68" s="56">
        <v>0.57999999999999996</v>
      </c>
      <c r="E68" s="23">
        <f>+C68*D68*$C$9</f>
        <v>106255.99999999999</v>
      </c>
      <c r="F68" s="52"/>
      <c r="G68" s="52"/>
    </row>
    <row r="69" spans="1:7" x14ac:dyDescent="0.3">
      <c r="A69" s="52"/>
      <c r="B69" s="52"/>
      <c r="C69" s="52"/>
      <c r="D69" s="52"/>
      <c r="E69" s="14"/>
      <c r="F69" s="52"/>
      <c r="G69" s="52"/>
    </row>
    <row r="70" spans="1:7" x14ac:dyDescent="0.3">
      <c r="A70" s="71" t="s">
        <v>61</v>
      </c>
      <c r="B70" s="63"/>
      <c r="C70" s="63"/>
      <c r="D70" s="63"/>
      <c r="E70" s="26">
        <f>SUM(E62:E69)</f>
        <v>183200</v>
      </c>
      <c r="F70" s="52"/>
      <c r="G70" s="52"/>
    </row>
    <row r="71" spans="1:7" x14ac:dyDescent="0.3">
      <c r="A71" s="52"/>
      <c r="B71" s="52"/>
      <c r="C71" s="52"/>
      <c r="D71" s="52"/>
      <c r="E71" s="14"/>
      <c r="F71" s="52"/>
      <c r="G71" s="52"/>
    </row>
    <row r="72" spans="1:7" x14ac:dyDescent="0.3">
      <c r="A72" s="52"/>
      <c r="B72" s="62"/>
      <c r="C72" s="62"/>
      <c r="D72" s="62"/>
      <c r="E72" s="27"/>
      <c r="F72" s="52"/>
      <c r="G72" s="52"/>
    </row>
    <row r="73" spans="1:7" x14ac:dyDescent="0.3">
      <c r="A73" s="71" t="s">
        <v>62</v>
      </c>
      <c r="B73" s="64" t="s">
        <v>1</v>
      </c>
      <c r="C73" s="64" t="s">
        <v>31</v>
      </c>
      <c r="D73" s="64" t="s">
        <v>32</v>
      </c>
      <c r="E73" s="22" t="s">
        <v>33</v>
      </c>
      <c r="F73" s="52"/>
      <c r="G73" s="52"/>
    </row>
    <row r="74" spans="1:7" x14ac:dyDescent="0.3">
      <c r="A74" s="52" t="s">
        <v>63</v>
      </c>
      <c r="B74" s="52" t="s">
        <v>38</v>
      </c>
      <c r="C74" s="56">
        <v>1</v>
      </c>
      <c r="D74" s="56">
        <v>20</v>
      </c>
      <c r="E74" s="23">
        <f>+C74*D74*$C$9</f>
        <v>18320</v>
      </c>
      <c r="F74" s="52"/>
      <c r="G74" s="52"/>
    </row>
    <row r="75" spans="1:7" x14ac:dyDescent="0.3">
      <c r="A75" s="52" t="s">
        <v>64</v>
      </c>
      <c r="B75" s="52" t="s">
        <v>38</v>
      </c>
      <c r="C75" s="52"/>
      <c r="D75" s="52"/>
      <c r="E75" s="23">
        <f t="shared" ref="E75:E76" si="5">+C75*D75*$C$9</f>
        <v>0</v>
      </c>
      <c r="F75" s="52"/>
      <c r="G75" s="52"/>
    </row>
    <row r="76" spans="1:7" x14ac:dyDescent="0.3">
      <c r="A76" s="52" t="s">
        <v>65</v>
      </c>
      <c r="B76" s="52" t="s">
        <v>38</v>
      </c>
      <c r="C76" s="52"/>
      <c r="D76" s="52"/>
      <c r="E76" s="23">
        <f t="shared" si="5"/>
        <v>0</v>
      </c>
      <c r="F76" s="52"/>
      <c r="G76" s="52"/>
    </row>
    <row r="77" spans="1:7" x14ac:dyDescent="0.3">
      <c r="A77" s="52"/>
      <c r="B77" s="52"/>
      <c r="C77" s="52"/>
      <c r="D77" s="52"/>
      <c r="E77" s="14"/>
      <c r="F77" s="52"/>
      <c r="G77" s="52"/>
    </row>
    <row r="78" spans="1:7" x14ac:dyDescent="0.3">
      <c r="A78" s="71" t="s">
        <v>87</v>
      </c>
      <c r="B78" s="63"/>
      <c r="C78" s="63"/>
      <c r="D78" s="63"/>
      <c r="E78" s="24">
        <f>SUM(E74:E77)</f>
        <v>18320</v>
      </c>
      <c r="F78" s="52"/>
      <c r="G78" s="52"/>
    </row>
    <row r="79" spans="1:7" x14ac:dyDescent="0.3">
      <c r="A79" s="52"/>
      <c r="B79" s="52"/>
      <c r="C79" s="52"/>
      <c r="D79" s="52"/>
      <c r="E79" s="14"/>
      <c r="F79" s="52"/>
      <c r="G79" s="52"/>
    </row>
    <row r="80" spans="1:7" x14ac:dyDescent="0.3">
      <c r="A80" s="71" t="s">
        <v>66</v>
      </c>
      <c r="B80" s="64" t="s">
        <v>1</v>
      </c>
      <c r="C80" s="64" t="s">
        <v>31</v>
      </c>
      <c r="D80" s="64" t="s">
        <v>32</v>
      </c>
      <c r="E80" s="22" t="s">
        <v>33</v>
      </c>
      <c r="F80" s="52"/>
      <c r="G80" s="52"/>
    </row>
    <row r="81" spans="1:7" x14ac:dyDescent="0.3">
      <c r="A81" s="52" t="s">
        <v>92</v>
      </c>
      <c r="B81" s="52" t="s">
        <v>93</v>
      </c>
      <c r="C81" s="56">
        <v>1500</v>
      </c>
      <c r="D81" s="56">
        <v>120</v>
      </c>
      <c r="E81" s="23">
        <f>+C81*D81</f>
        <v>180000</v>
      </c>
      <c r="F81" s="52"/>
      <c r="G81" s="52"/>
    </row>
    <row r="82" spans="1:7" x14ac:dyDescent="0.3">
      <c r="A82" s="52" t="s">
        <v>85</v>
      </c>
      <c r="B82" s="52" t="s">
        <v>86</v>
      </c>
      <c r="C82" s="52"/>
      <c r="D82" s="52"/>
      <c r="E82" s="23">
        <f>1031262*5*1/80</f>
        <v>64453.875</v>
      </c>
      <c r="F82" s="52"/>
      <c r="G82" s="52"/>
    </row>
    <row r="83" spans="1:7" x14ac:dyDescent="0.3">
      <c r="A83" s="52" t="s">
        <v>70</v>
      </c>
      <c r="B83" s="52"/>
      <c r="C83" s="52"/>
      <c r="D83" s="52"/>
      <c r="E83" s="23"/>
      <c r="F83" s="52"/>
      <c r="G83" s="52"/>
    </row>
    <row r="84" spans="1:7" x14ac:dyDescent="0.3">
      <c r="A84" s="52" t="s">
        <v>121</v>
      </c>
      <c r="B84" s="52" t="s">
        <v>89</v>
      </c>
      <c r="C84" s="52"/>
      <c r="D84" s="52"/>
      <c r="E84" s="23">
        <f>10*C9</f>
        <v>9160</v>
      </c>
      <c r="F84" s="52"/>
      <c r="G84" s="52"/>
    </row>
    <row r="85" spans="1:7" x14ac:dyDescent="0.3">
      <c r="A85" s="52" t="s">
        <v>88</v>
      </c>
      <c r="B85" s="52"/>
      <c r="C85" s="52"/>
      <c r="D85" s="65"/>
      <c r="E85" s="23">
        <v>38000</v>
      </c>
      <c r="F85" s="52"/>
      <c r="G85" s="52"/>
    </row>
    <row r="86" spans="1:7" x14ac:dyDescent="0.3">
      <c r="A86" s="52"/>
      <c r="B86" s="52"/>
      <c r="C86" s="52"/>
      <c r="D86" s="52"/>
      <c r="E86" s="14"/>
      <c r="F86" s="52"/>
      <c r="G86" s="52"/>
    </row>
    <row r="87" spans="1:7" x14ac:dyDescent="0.3">
      <c r="A87" s="71" t="s">
        <v>71</v>
      </c>
      <c r="B87" s="63"/>
      <c r="C87" s="63"/>
      <c r="D87" s="63"/>
      <c r="E87" s="26">
        <f>+E35+E38+E42+E58+E70+E78+E81+E82+E83+E84+E85+E86</f>
        <v>1194604.075</v>
      </c>
      <c r="F87" s="52"/>
      <c r="G87" s="52"/>
    </row>
    <row r="88" spans="1:7" x14ac:dyDescent="0.3">
      <c r="A88" s="52"/>
      <c r="B88" s="52"/>
      <c r="C88" s="52"/>
      <c r="D88" s="52"/>
      <c r="E88" s="14"/>
      <c r="F88" s="52"/>
      <c r="G88" s="52"/>
    </row>
    <row r="89" spans="1:7" x14ac:dyDescent="0.3">
      <c r="A89" s="71" t="s">
        <v>72</v>
      </c>
      <c r="B89" s="64" t="s">
        <v>1</v>
      </c>
      <c r="C89" s="64" t="s">
        <v>31</v>
      </c>
      <c r="D89" s="64" t="s">
        <v>32</v>
      </c>
      <c r="E89" s="22" t="s">
        <v>33</v>
      </c>
      <c r="F89" s="52"/>
      <c r="G89" s="52"/>
    </row>
    <row r="90" spans="1:7" x14ac:dyDescent="0.3">
      <c r="A90" s="52" t="s">
        <v>94</v>
      </c>
      <c r="B90" s="52" t="s">
        <v>34</v>
      </c>
      <c r="C90" s="56">
        <f>2.5%*C7</f>
        <v>190</v>
      </c>
      <c r="D90" s="56">
        <f>+C10</f>
        <v>400</v>
      </c>
      <c r="E90" s="23">
        <f>+C90*D90</f>
        <v>76000</v>
      </c>
      <c r="F90" s="52"/>
      <c r="G90" s="52"/>
    </row>
    <row r="91" spans="1:7" x14ac:dyDescent="0.3">
      <c r="A91" s="52" t="s">
        <v>83</v>
      </c>
      <c r="B91" s="52" t="s">
        <v>34</v>
      </c>
      <c r="C91" s="56">
        <f>1%*C7</f>
        <v>76</v>
      </c>
      <c r="D91" s="56">
        <f>+C10</f>
        <v>400</v>
      </c>
      <c r="E91" s="23">
        <f t="shared" ref="E91:E93" si="6">+C91*D91</f>
        <v>30400</v>
      </c>
      <c r="F91" s="52"/>
      <c r="G91" s="52"/>
    </row>
    <row r="92" spans="1:7" x14ac:dyDescent="0.3">
      <c r="A92" s="52" t="s">
        <v>81</v>
      </c>
      <c r="B92" s="52" t="s">
        <v>34</v>
      </c>
      <c r="C92" s="56">
        <v>750</v>
      </c>
      <c r="D92" s="56">
        <f>+C10</f>
        <v>400</v>
      </c>
      <c r="E92" s="23">
        <f t="shared" si="6"/>
        <v>300000</v>
      </c>
      <c r="F92" s="52"/>
      <c r="G92" s="52"/>
    </row>
    <row r="93" spans="1:7" x14ac:dyDescent="0.3">
      <c r="A93" s="52" t="s">
        <v>82</v>
      </c>
      <c r="B93" s="52" t="s">
        <v>34</v>
      </c>
      <c r="C93" s="56">
        <v>1000</v>
      </c>
      <c r="D93" s="56">
        <f>+C10</f>
        <v>400</v>
      </c>
      <c r="E93" s="23">
        <f t="shared" si="6"/>
        <v>400000</v>
      </c>
      <c r="F93" s="52"/>
      <c r="G93" s="52"/>
    </row>
    <row r="94" spans="1:7" x14ac:dyDescent="0.3">
      <c r="A94" s="52"/>
      <c r="B94" s="52"/>
      <c r="C94" s="56"/>
      <c r="D94" s="56"/>
      <c r="E94" s="14"/>
      <c r="F94" s="52"/>
      <c r="G94" s="52"/>
    </row>
    <row r="95" spans="1:7" x14ac:dyDescent="0.3">
      <c r="A95" s="71" t="s">
        <v>90</v>
      </c>
      <c r="B95" s="63"/>
      <c r="C95" s="63"/>
      <c r="D95" s="63"/>
      <c r="E95" s="26">
        <f>SUM(E90:E94)</f>
        <v>806400</v>
      </c>
      <c r="F95" s="52"/>
      <c r="G95" s="52"/>
    </row>
    <row r="96" spans="1:7" x14ac:dyDescent="0.3">
      <c r="A96" s="52"/>
      <c r="B96" s="52"/>
      <c r="C96" s="52"/>
      <c r="D96" s="52"/>
      <c r="E96" s="28"/>
      <c r="F96" s="52"/>
      <c r="G96" s="52"/>
    </row>
    <row r="97" spans="1:7" x14ac:dyDescent="0.3">
      <c r="A97" s="63" t="s">
        <v>73</v>
      </c>
      <c r="B97" s="63"/>
      <c r="C97" s="63"/>
      <c r="D97" s="63"/>
      <c r="E97" s="30">
        <f>+E95+E87</f>
        <v>2001004.075</v>
      </c>
      <c r="F97" s="52"/>
      <c r="G97" s="52"/>
    </row>
    <row r="98" spans="1:7" x14ac:dyDescent="0.3">
      <c r="A98" s="52" t="s">
        <v>74</v>
      </c>
      <c r="B98" s="52"/>
      <c r="C98" s="52"/>
      <c r="D98" s="52"/>
      <c r="E98" s="20">
        <f>50*C9</f>
        <v>45800</v>
      </c>
      <c r="F98" s="52"/>
      <c r="G98" s="52"/>
    </row>
    <row r="99" spans="1:7" x14ac:dyDescent="0.3">
      <c r="A99" s="52" t="s">
        <v>75</v>
      </c>
      <c r="B99" s="52"/>
      <c r="C99" s="52"/>
      <c r="D99" s="52"/>
      <c r="E99" s="23">
        <f>30*C9</f>
        <v>27480</v>
      </c>
      <c r="F99" s="52"/>
      <c r="G99" s="52"/>
    </row>
    <row r="100" spans="1:7" x14ac:dyDescent="0.3">
      <c r="A100" s="52"/>
      <c r="B100" s="52"/>
      <c r="C100" s="52"/>
      <c r="D100" s="52"/>
      <c r="E100" s="14"/>
      <c r="F100" s="52"/>
      <c r="G100" s="52"/>
    </row>
    <row r="101" spans="1:7" x14ac:dyDescent="0.3">
      <c r="A101" s="71" t="s">
        <v>111</v>
      </c>
      <c r="B101" s="63"/>
      <c r="C101" s="63"/>
      <c r="D101" s="63"/>
      <c r="E101" s="26">
        <f>+E97+E98+E99</f>
        <v>2074284.075</v>
      </c>
      <c r="F101" s="52"/>
      <c r="G101" s="52"/>
    </row>
    <row r="102" spans="1:7" x14ac:dyDescent="0.3">
      <c r="A102" s="52"/>
      <c r="B102" s="52"/>
      <c r="C102" s="52"/>
      <c r="D102" s="52"/>
      <c r="E102" s="14"/>
      <c r="F102" s="52"/>
      <c r="G102" s="52"/>
    </row>
    <row r="103" spans="1:7" x14ac:dyDescent="0.3">
      <c r="A103" s="67" t="s">
        <v>105</v>
      </c>
      <c r="B103" s="67"/>
      <c r="C103" s="67"/>
      <c r="D103" s="67"/>
      <c r="E103" s="77"/>
      <c r="F103" s="52"/>
      <c r="G103" s="52"/>
    </row>
    <row r="104" spans="1:7" x14ac:dyDescent="0.3">
      <c r="A104" s="72"/>
      <c r="B104" s="72"/>
      <c r="C104" s="72"/>
      <c r="D104" s="49" t="s">
        <v>77</v>
      </c>
      <c r="E104" s="49"/>
      <c r="F104" s="52"/>
      <c r="G104" s="52"/>
    </row>
    <row r="105" spans="1:7" x14ac:dyDescent="0.3">
      <c r="A105" s="72" t="s">
        <v>76</v>
      </c>
      <c r="B105" s="72"/>
      <c r="C105" s="72"/>
      <c r="D105" s="12">
        <f>+C16-E97</f>
        <v>746395.92500000005</v>
      </c>
      <c r="E105" s="13">
        <f>+D105/$C$9</f>
        <v>814.84271288209607</v>
      </c>
      <c r="F105" s="52"/>
      <c r="G105" s="52"/>
    </row>
    <row r="106" spans="1:7" x14ac:dyDescent="0.3">
      <c r="A106" s="72" t="s">
        <v>78</v>
      </c>
      <c r="B106" s="72"/>
      <c r="C106" s="72"/>
      <c r="D106" s="12">
        <f>+D105-E98-E99</f>
        <v>673115.92500000005</v>
      </c>
      <c r="E106" s="13">
        <f>+D106/$C$9</f>
        <v>734.84271288209607</v>
      </c>
      <c r="F106" s="52"/>
      <c r="G106" s="52"/>
    </row>
    <row r="107" spans="1:7" x14ac:dyDescent="0.3">
      <c r="A107" s="72" t="s">
        <v>79</v>
      </c>
      <c r="B107" s="72"/>
      <c r="C107" s="72"/>
      <c r="D107" s="39">
        <f>+D106/E97</f>
        <v>0.33638908256596134</v>
      </c>
      <c r="E107" s="39"/>
      <c r="F107" s="52"/>
      <c r="G107" s="52"/>
    </row>
    <row r="108" spans="1:7" x14ac:dyDescent="0.3">
      <c r="A108" s="34" t="s">
        <v>80</v>
      </c>
      <c r="B108" s="34"/>
      <c r="C108" s="34" t="s">
        <v>4</v>
      </c>
      <c r="D108" s="40">
        <f>+E101/C17</f>
        <v>5737.9919087136932</v>
      </c>
      <c r="E108" s="40"/>
      <c r="F108" s="52"/>
      <c r="G108" s="52"/>
    </row>
    <row r="109" spans="1:7" x14ac:dyDescent="0.3">
      <c r="A109" s="52"/>
      <c r="B109" s="52"/>
      <c r="C109" s="52"/>
      <c r="D109" s="52"/>
      <c r="E109" s="52"/>
      <c r="F109" s="52"/>
      <c r="G109" s="52"/>
    </row>
    <row r="110" spans="1:7" x14ac:dyDescent="0.3">
      <c r="A110" s="52" t="s">
        <v>106</v>
      </c>
      <c r="B110" s="52"/>
      <c r="C110" s="52"/>
      <c r="D110" s="52"/>
      <c r="E110" s="52"/>
      <c r="F110" s="52"/>
      <c r="G110" s="52"/>
    </row>
    <row r="111" spans="1:7" x14ac:dyDescent="0.3">
      <c r="A111" s="68" t="s">
        <v>126</v>
      </c>
      <c r="B111" s="68"/>
      <c r="C111" s="68"/>
      <c r="D111" s="68"/>
      <c r="E111" s="68"/>
      <c r="F111" s="68"/>
      <c r="G111" s="68"/>
    </row>
    <row r="112" spans="1:7" x14ac:dyDescent="0.3">
      <c r="A112" s="52" t="s">
        <v>125</v>
      </c>
      <c r="B112" s="52"/>
      <c r="C112" s="52"/>
      <c r="D112" s="52"/>
      <c r="E112" s="52"/>
      <c r="F112" s="52"/>
      <c r="G112" s="52"/>
    </row>
  </sheetData>
  <mergeCells count="10">
    <mergeCell ref="A1:E1"/>
    <mergeCell ref="A111:G111"/>
    <mergeCell ref="A2:E2"/>
    <mergeCell ref="A3:E3"/>
    <mergeCell ref="D107:E107"/>
    <mergeCell ref="D108:E108"/>
    <mergeCell ref="A4:C4"/>
    <mergeCell ref="A19:C19"/>
    <mergeCell ref="A103:E103"/>
    <mergeCell ref="D104:E10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Pozo-Gas Oil-Arrendado</vt:lpstr>
      <vt:lpstr>Represa-Gas Oil-Arrendado</vt:lpstr>
      <vt:lpstr>Pozo-Eléctrico-Arrendado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2024-06-14T00:29:06Z</dcterms:modified>
</cp:coreProperties>
</file>